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210" yWindow="0" windowWidth="15495" windowHeight="12840" tabRatio="961" activeTab="1"/>
  </bookViews>
  <sheets>
    <sheet name="Э" sheetId="1" r:id="rId1"/>
    <sheet name="ЭЛКО" sheetId="2" r:id="rId2"/>
  </sheets>
  <definedNames>
    <definedName name="_xlnm.Print_Area" localSheetId="1">'ЭЛКО'!$A$1:$I$36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<sst xmlns="http://schemas.openxmlformats.org/spreadsheetml/2006/main" count="72" uniqueCount="67">
  <si>
    <r>
      <t xml:space="preserve">Усреднённый расход через 1-у плеть ЭЛКО - </t>
    </r>
    <r>
      <rPr>
        <b/>
        <sz val="11"/>
        <rFont val="Arial Cyr"/>
        <family val="0"/>
      </rPr>
      <t>Q</t>
    </r>
    <r>
      <rPr>
        <sz val="11"/>
        <rFont val="Arial Cyr"/>
        <family val="0"/>
      </rPr>
      <t>-плети</t>
    </r>
  </si>
  <si>
    <r>
      <t xml:space="preserve">Проектируемое давление в начале ЭЛКО - </t>
    </r>
    <r>
      <rPr>
        <b/>
        <sz val="11"/>
        <rFont val="Arial Cyr"/>
        <family val="0"/>
      </rPr>
      <t>Р</t>
    </r>
    <r>
      <rPr>
        <sz val="11"/>
        <rFont val="Arial Cyr"/>
        <family val="0"/>
      </rPr>
      <t xml:space="preserve"> (</t>
    </r>
    <r>
      <rPr>
        <sz val="11"/>
        <color indexed="10"/>
        <rFont val="Arial Cyr"/>
        <family val="0"/>
      </rPr>
      <t>от 0,3 до 2,5 кг/см²</t>
    </r>
    <r>
      <rPr>
        <sz val="11"/>
        <rFont val="Arial Cyr"/>
        <family val="0"/>
      </rPr>
      <t>)</t>
    </r>
  </si>
  <si>
    <r>
      <t xml:space="preserve">Максимальная разница водовыпуска по длине ЭЛКО - </t>
    </r>
    <r>
      <rPr>
        <b/>
        <sz val="11"/>
        <rFont val="Arial Cyr"/>
        <family val="0"/>
      </rPr>
      <t>dQ</t>
    </r>
  </si>
  <si>
    <t>Плохо!</t>
  </si>
  <si>
    <t xml:space="preserve"> Не изменять. Не удалять.</t>
  </si>
  <si>
    <t>ИТОГО</t>
  </si>
  <si>
    <t>м</t>
  </si>
  <si>
    <t>л/ч</t>
  </si>
  <si>
    <t>%</t>
  </si>
  <si>
    <t>№</t>
  </si>
  <si>
    <t>кг/см²</t>
  </si>
  <si>
    <t>Хорошо</t>
  </si>
  <si>
    <t>Удовлетворительно</t>
  </si>
  <si>
    <t>Не удовлетворительно</t>
  </si>
  <si>
    <t>Отлично</t>
  </si>
  <si>
    <t>Ошибка в подборе ЭЛКО</t>
  </si>
  <si>
    <t>Ошибка № ЭЛКО</t>
  </si>
  <si>
    <t>Оценка подбора ЭЛКО:</t>
  </si>
  <si>
    <t>Ед. изм.</t>
  </si>
  <si>
    <t>см</t>
  </si>
  <si>
    <t>Длина плетей ЭЛКО</t>
  </si>
  <si>
    <t>Задать   здесь</t>
  </si>
  <si>
    <t>Производитель систем ирригации Завод "ФАКЕЛ" всегда желает производителям сельхозпродукции урожайных сезонов</t>
  </si>
  <si>
    <t>МАКСА</t>
  </si>
  <si>
    <t>Q Плети ЭЛКО</t>
  </si>
  <si>
    <t>Q усредн</t>
  </si>
  <si>
    <t>Ввод Внутр Ø</t>
  </si>
  <si>
    <t>Наименьш</t>
  </si>
  <si>
    <t>Q Плети уср. по Q ср.+dQ</t>
  </si>
  <si>
    <t>Q средн.по Р</t>
  </si>
  <si>
    <t>dQ %</t>
  </si>
  <si>
    <t>Р среднее</t>
  </si>
  <si>
    <t>№1</t>
  </si>
  <si>
    <t>№2</t>
  </si>
  <si>
    <t>№3</t>
  </si>
  <si>
    <t>Задаваемые параметры ЭЛКО</t>
  </si>
  <si>
    <t>Вычисленные параметры ЭЛКО</t>
  </si>
  <si>
    <t>Ош. зад. ЭЛКО</t>
  </si>
  <si>
    <r>
      <t xml:space="preserve">Максимальный расход через 1 водовыпуск (эмиттер) - </t>
    </r>
    <r>
      <rPr>
        <b/>
        <sz val="11"/>
        <rFont val="Arial Cyr"/>
        <family val="0"/>
      </rPr>
      <t>Q</t>
    </r>
    <r>
      <rPr>
        <sz val="11"/>
        <rFont val="Arial Cyr"/>
        <family val="0"/>
      </rPr>
      <t>-эмитт.</t>
    </r>
  </si>
  <si>
    <r>
      <t xml:space="preserve">Уклон в метрах (если </t>
    </r>
    <r>
      <rPr>
        <b/>
        <sz val="11"/>
        <color indexed="10"/>
        <rFont val="Arial Cyr"/>
        <family val="0"/>
      </rPr>
      <t>спуск</t>
    </r>
    <r>
      <rPr>
        <sz val="11"/>
        <rFont val="Arial Cyr"/>
        <family val="0"/>
      </rPr>
      <t>, то со знаком "</t>
    </r>
    <r>
      <rPr>
        <b/>
        <sz val="11"/>
        <color indexed="10"/>
        <rFont val="Arial Cyr"/>
        <family val="0"/>
      </rPr>
      <t>-</t>
    </r>
    <r>
      <rPr>
        <sz val="11"/>
        <rFont val="Arial Cyr"/>
        <family val="0"/>
      </rPr>
      <t>")</t>
    </r>
  </si>
  <si>
    <t>Ошибка задания ЭЛКО</t>
  </si>
  <si>
    <r>
      <t>Расстояние между эмиттерами (</t>
    </r>
    <r>
      <rPr>
        <sz val="11"/>
        <color indexed="10"/>
        <rFont val="Arial Cyr"/>
        <family val="0"/>
      </rPr>
      <t>от 20 см</t>
    </r>
    <r>
      <rPr>
        <sz val="11"/>
        <rFont val="Arial Cyr"/>
        <family val="0"/>
      </rPr>
      <t>)</t>
    </r>
  </si>
  <si>
    <r>
      <t>№ применяемой ЭЛКО (</t>
    </r>
    <r>
      <rPr>
        <sz val="11"/>
        <color indexed="10"/>
        <rFont val="Arial Cyr"/>
        <family val="0"/>
      </rPr>
      <t>1; 2; 3</t>
    </r>
    <r>
      <rPr>
        <sz val="11"/>
        <rFont val="Arial Cyr"/>
        <family val="0"/>
      </rPr>
      <t>)</t>
    </r>
  </si>
  <si>
    <t>Давление в конце ЭЛКО</t>
  </si>
  <si>
    <t xml:space="preserve">Разработчик настоящего калькулятора Завод "ФАКЕЛ" предоставляет возможность быстро и точно подобрать ЭЛКО по максимальной длине в зависимости от имеющегося уклона грунта, входного давления и № ЭЛКО </t>
  </si>
  <si>
    <t>Ошибка выбора давл.</t>
  </si>
  <si>
    <r>
      <t xml:space="preserve">Минимальный расход через 1 водовыпуск (эмиттер) - </t>
    </r>
    <r>
      <rPr>
        <b/>
        <sz val="11"/>
        <rFont val="Arial Cyr"/>
        <family val="0"/>
      </rPr>
      <t>Q</t>
    </r>
    <r>
      <rPr>
        <sz val="11"/>
        <rFont val="Arial Cyr"/>
        <family val="0"/>
      </rPr>
      <t>-эмитт.</t>
    </r>
  </si>
  <si>
    <t>Калькулятор расчета ЭЛКО</t>
  </si>
  <si>
    <r>
      <t>Q</t>
    </r>
    <r>
      <rPr>
        <sz val="10"/>
        <color indexed="9"/>
        <rFont val="Arial Cyr"/>
        <family val="0"/>
      </rPr>
      <t xml:space="preserve"> Расх. через 1 эмиттер ФАКТ</t>
    </r>
    <r>
      <rPr>
        <b/>
        <sz val="10"/>
        <color indexed="9"/>
        <rFont val="Arial Cyr"/>
        <family val="0"/>
      </rPr>
      <t xml:space="preserve"> </t>
    </r>
    <r>
      <rPr>
        <b/>
        <sz val="12"/>
        <color indexed="9"/>
        <rFont val="Arial Cyr"/>
        <family val="0"/>
      </rPr>
      <t>л/ч</t>
    </r>
  </si>
  <si>
    <r>
      <t>Q</t>
    </r>
    <r>
      <rPr>
        <sz val="10"/>
        <color indexed="9"/>
        <rFont val="Arial Cyr"/>
        <family val="0"/>
      </rPr>
      <t xml:space="preserve"> Расход через 1 эмиттер расчётн</t>
    </r>
    <r>
      <rPr>
        <b/>
        <sz val="10"/>
        <color indexed="9"/>
        <rFont val="Arial Cyr"/>
        <family val="0"/>
      </rPr>
      <t xml:space="preserve"> </t>
    </r>
    <r>
      <rPr>
        <b/>
        <sz val="12"/>
        <color indexed="9"/>
        <rFont val="Arial Cyr"/>
        <family val="0"/>
      </rPr>
      <t>л/ч</t>
    </r>
  </si>
  <si>
    <r>
      <t>К-во эмит-теров в</t>
    </r>
    <r>
      <rPr>
        <b/>
        <sz val="10"/>
        <color indexed="9"/>
        <rFont val="Arial Cyr"/>
        <family val="0"/>
      </rPr>
      <t xml:space="preserve"> 1 м </t>
    </r>
    <r>
      <rPr>
        <b/>
        <sz val="12"/>
        <color indexed="9"/>
        <rFont val="Arial Cyr"/>
        <family val="0"/>
      </rPr>
      <t>шт</t>
    </r>
  </si>
  <si>
    <r>
      <t xml:space="preserve">Р </t>
    </r>
    <r>
      <rPr>
        <sz val="10"/>
        <color indexed="9"/>
        <rFont val="Arial Cyr"/>
        <family val="0"/>
      </rPr>
      <t xml:space="preserve"> Расчётное давление в ЭЛКО</t>
    </r>
    <r>
      <rPr>
        <b/>
        <sz val="10"/>
        <color indexed="9"/>
        <rFont val="Arial Cyr"/>
        <family val="0"/>
      </rPr>
      <t xml:space="preserve"> кг/см кв</t>
    </r>
  </si>
  <si>
    <r>
      <t>L</t>
    </r>
    <r>
      <rPr>
        <sz val="10"/>
        <color indexed="9"/>
        <rFont val="Arial Cyr"/>
        <family val="0"/>
      </rPr>
      <t xml:space="preserve"> Длина отрезка ЭЛКО </t>
    </r>
    <r>
      <rPr>
        <b/>
        <sz val="16"/>
        <color indexed="9"/>
        <rFont val="Arial Cyr"/>
        <family val="0"/>
      </rPr>
      <t>м</t>
    </r>
  </si>
  <si>
    <r>
      <t>d</t>
    </r>
    <r>
      <rPr>
        <b/>
        <sz val="16"/>
        <color indexed="9"/>
        <rFont val="Arial Cyr"/>
        <family val="0"/>
      </rPr>
      <t xml:space="preserve">Q-п  </t>
    </r>
    <r>
      <rPr>
        <sz val="10"/>
        <color indexed="9"/>
        <rFont val="Arial Cyr"/>
        <family val="0"/>
      </rPr>
      <t xml:space="preserve"> Расход на отрезке ЭЛКО </t>
    </r>
    <r>
      <rPr>
        <b/>
        <sz val="10"/>
        <color indexed="9"/>
        <rFont val="Arial Cyr"/>
        <family val="0"/>
      </rPr>
      <t>фактич</t>
    </r>
    <r>
      <rPr>
        <sz val="10"/>
        <color indexed="9"/>
        <rFont val="Arial Cyr"/>
        <family val="0"/>
      </rPr>
      <t xml:space="preserve"> </t>
    </r>
    <r>
      <rPr>
        <b/>
        <sz val="12"/>
        <color indexed="9"/>
        <rFont val="Arial Cyr"/>
        <family val="0"/>
      </rPr>
      <t>л/ч</t>
    </r>
  </si>
  <si>
    <r>
      <t>Q-п</t>
    </r>
    <r>
      <rPr>
        <b/>
        <sz val="10"/>
        <color indexed="9"/>
        <rFont val="Arial Cyr"/>
        <family val="0"/>
      </rPr>
      <t xml:space="preserve">    </t>
    </r>
    <r>
      <rPr>
        <sz val="10"/>
        <color indexed="9"/>
        <rFont val="Arial Cyr"/>
        <family val="0"/>
      </rPr>
      <t>Расход воды по плети ЭЛКО</t>
    </r>
    <r>
      <rPr>
        <b/>
        <sz val="10"/>
        <color indexed="9"/>
        <rFont val="Arial Cyr"/>
        <family val="0"/>
      </rPr>
      <t xml:space="preserve">  фактич  </t>
    </r>
    <r>
      <rPr>
        <b/>
        <sz val="12"/>
        <color indexed="9"/>
        <rFont val="Arial Cyr"/>
        <family val="0"/>
      </rPr>
      <t>л/ч</t>
    </r>
  </si>
  <si>
    <r>
      <t>Ø</t>
    </r>
    <r>
      <rPr>
        <b/>
        <sz val="14"/>
        <color indexed="9"/>
        <rFont val="Arial Cyr"/>
        <family val="0"/>
      </rPr>
      <t xml:space="preserve"> </t>
    </r>
    <r>
      <rPr>
        <sz val="10"/>
        <color indexed="9"/>
        <rFont val="Arial Cyr"/>
        <family val="0"/>
      </rPr>
      <t>наружн.</t>
    </r>
    <r>
      <rPr>
        <b/>
        <sz val="12"/>
        <color indexed="9"/>
        <rFont val="Arial Cyr"/>
        <family val="0"/>
      </rPr>
      <t xml:space="preserve"> мм</t>
    </r>
  </si>
  <si>
    <r>
      <t>Ø</t>
    </r>
    <r>
      <rPr>
        <b/>
        <sz val="10"/>
        <color indexed="9"/>
        <rFont val="Arial Cyr"/>
        <family val="0"/>
      </rPr>
      <t xml:space="preserve"> </t>
    </r>
    <r>
      <rPr>
        <sz val="10"/>
        <color indexed="9"/>
        <rFont val="Arial Cyr"/>
        <family val="0"/>
      </rPr>
      <t>внутр</t>
    </r>
    <r>
      <rPr>
        <b/>
        <sz val="14"/>
        <color indexed="9"/>
        <rFont val="Arial Cyr"/>
        <family val="0"/>
      </rPr>
      <t xml:space="preserve"> </t>
    </r>
    <r>
      <rPr>
        <sz val="10"/>
        <color indexed="9"/>
        <rFont val="Arial Cyr"/>
        <family val="0"/>
      </rPr>
      <t>пересчитанный</t>
    </r>
    <r>
      <rPr>
        <b/>
        <sz val="14"/>
        <color indexed="9"/>
        <rFont val="Arial Cyr"/>
        <family val="0"/>
      </rPr>
      <t xml:space="preserve"> </t>
    </r>
    <r>
      <rPr>
        <b/>
        <sz val="12"/>
        <color indexed="9"/>
        <rFont val="Arial Cyr"/>
        <family val="0"/>
      </rPr>
      <t>мм</t>
    </r>
  </si>
  <si>
    <r>
      <t xml:space="preserve">L </t>
    </r>
    <r>
      <rPr>
        <b/>
        <sz val="11"/>
        <color indexed="9"/>
        <rFont val="Arial Cyr"/>
        <family val="0"/>
      </rPr>
      <t xml:space="preserve"> Длина отрезка</t>
    </r>
    <r>
      <rPr>
        <b/>
        <sz val="12"/>
        <color indexed="9"/>
        <rFont val="Arial Cyr"/>
        <family val="0"/>
      </rPr>
      <t xml:space="preserve">        м</t>
    </r>
  </si>
  <si>
    <r>
      <t>dL</t>
    </r>
    <r>
      <rPr>
        <sz val="10"/>
        <color indexed="9"/>
        <rFont val="Arial Cyr"/>
        <family val="0"/>
      </rPr>
      <t xml:space="preserve"> Длина отрезка ЭЛКО </t>
    </r>
    <r>
      <rPr>
        <b/>
        <sz val="16"/>
        <color indexed="9"/>
        <rFont val="Arial Cyr"/>
        <family val="0"/>
      </rPr>
      <t>м</t>
    </r>
  </si>
  <si>
    <r>
      <t xml:space="preserve">L </t>
    </r>
    <r>
      <rPr>
        <b/>
        <sz val="11"/>
        <color indexed="9"/>
        <rFont val="Arial Cyr"/>
        <family val="0"/>
      </rPr>
      <t xml:space="preserve"> Макс.</t>
    </r>
    <r>
      <rPr>
        <sz val="11"/>
        <color indexed="9"/>
        <rFont val="Arial Cyr"/>
        <family val="0"/>
      </rPr>
      <t xml:space="preserve"> длина ЭЛКО     </t>
    </r>
    <r>
      <rPr>
        <b/>
        <sz val="12"/>
        <color indexed="9"/>
        <rFont val="Arial Cyr"/>
        <family val="0"/>
      </rPr>
      <t xml:space="preserve"> м</t>
    </r>
  </si>
  <si>
    <r>
      <t xml:space="preserve">У        </t>
    </r>
    <r>
      <rPr>
        <sz val="11"/>
        <color indexed="9"/>
        <rFont val="Arial Cyr"/>
        <family val="0"/>
      </rPr>
      <t xml:space="preserve">-Укл   +Подъём    </t>
    </r>
    <r>
      <rPr>
        <b/>
        <sz val="12"/>
        <color indexed="9"/>
        <rFont val="Arial Cyr"/>
        <family val="0"/>
      </rPr>
      <t xml:space="preserve"> м</t>
    </r>
  </si>
  <si>
    <r>
      <t>d</t>
    </r>
    <r>
      <rPr>
        <b/>
        <sz val="14"/>
        <color indexed="9"/>
        <rFont val="Arial Cyr"/>
        <family val="0"/>
      </rPr>
      <t xml:space="preserve">У  </t>
    </r>
    <r>
      <rPr>
        <b/>
        <sz val="10"/>
        <color indexed="9"/>
        <rFont val="Arial Cyr"/>
        <family val="0"/>
      </rPr>
      <t>на отрезок</t>
    </r>
    <r>
      <rPr>
        <sz val="10"/>
        <color indexed="9"/>
        <rFont val="Arial Cyr"/>
        <family val="0"/>
      </rPr>
      <t xml:space="preserve">  </t>
    </r>
    <r>
      <rPr>
        <b/>
        <sz val="14"/>
        <color indexed="9"/>
        <rFont val="Arial Cyr"/>
        <family val="0"/>
      </rPr>
      <t xml:space="preserve">  </t>
    </r>
    <r>
      <rPr>
        <b/>
        <sz val="11"/>
        <color indexed="9"/>
        <rFont val="Arial Cyr"/>
        <family val="0"/>
      </rPr>
      <t xml:space="preserve">+_У/L  </t>
    </r>
    <r>
      <rPr>
        <b/>
        <sz val="12"/>
        <color indexed="9"/>
        <rFont val="Arial Cyr"/>
        <family val="0"/>
      </rPr>
      <t>*L          м</t>
    </r>
  </si>
  <si>
    <r>
      <t xml:space="preserve">S </t>
    </r>
    <r>
      <rPr>
        <sz val="12"/>
        <color indexed="9"/>
        <rFont val="Arial Cyr"/>
        <family val="0"/>
      </rPr>
      <t xml:space="preserve">  Площадь        </t>
    </r>
    <r>
      <rPr>
        <b/>
        <sz val="12"/>
        <color indexed="9"/>
        <rFont val="Arial Cyr"/>
        <family val="0"/>
      </rPr>
      <t xml:space="preserve">мм кв </t>
    </r>
  </si>
  <si>
    <r>
      <t xml:space="preserve">V      </t>
    </r>
    <r>
      <rPr>
        <sz val="10"/>
        <color indexed="9"/>
        <rFont val="Arial Cyr"/>
        <family val="0"/>
      </rPr>
      <t>Скор. движ. воды</t>
    </r>
    <r>
      <rPr>
        <b/>
        <sz val="12"/>
        <color indexed="9"/>
        <rFont val="Arial Cyr"/>
        <family val="0"/>
      </rPr>
      <t xml:space="preserve"> м/сек</t>
    </r>
  </si>
  <si>
    <r>
      <t xml:space="preserve">i    </t>
    </r>
    <r>
      <rPr>
        <sz val="10"/>
        <color indexed="9"/>
        <rFont val="Arial Cyr"/>
        <family val="0"/>
      </rPr>
      <t>Гидр. сопр. трубопровода  *1000</t>
    </r>
  </si>
  <si>
    <r>
      <t>h-р</t>
    </r>
    <r>
      <rPr>
        <b/>
        <sz val="10"/>
        <color indexed="9"/>
        <rFont val="Arial Cyr"/>
        <family val="0"/>
      </rPr>
      <t xml:space="preserve"> </t>
    </r>
    <r>
      <rPr>
        <sz val="10"/>
        <color indexed="9"/>
        <rFont val="Arial Cyr"/>
        <family val="0"/>
      </rPr>
      <t>Потери давления расчётн. в конце труб.</t>
    </r>
    <r>
      <rPr>
        <sz val="12"/>
        <color indexed="9"/>
        <rFont val="Arial Cyr"/>
        <family val="0"/>
      </rPr>
      <t xml:space="preserve"> </t>
    </r>
    <r>
      <rPr>
        <b/>
        <sz val="12"/>
        <color indexed="9"/>
        <rFont val="Arial Cyr"/>
        <family val="0"/>
      </rPr>
      <t>кг/см кв</t>
    </r>
  </si>
  <si>
    <t>Производитель систем ирригации Завод "ФАКЕЛ" всегда желает производителям сельхозпродукции урожайных сезонов!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</si>
</sst>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000E+00"/>
    <numFmt numFmtId="176" formatCode="0.000E+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00\ _г_р_н_._-;\-* #,##0.000\ _г_р_н_._-;_-* &quot;-&quot;??\ _г_р_н_._-;_-@_-"/>
    <numFmt numFmtId="183" formatCode="0.00;[Red]0.00"/>
    <numFmt numFmtId="184" formatCode="0.00000000"/>
    <numFmt numFmtId="185" formatCode="0.0000000"/>
    <numFmt numFmtId="186" formatCode="0.000000"/>
    <numFmt numFmtId="187" formatCode="0.000000000"/>
    <numFmt numFmtId="188" formatCode="0.0000000000"/>
    <numFmt numFmtId="189" formatCode="d\ mmmm\,\ yyyy"/>
    <numFmt numFmtId="190" formatCode="000000"/>
    <numFmt numFmtId="191" formatCode="00000\-0000"/>
    <numFmt numFmtId="192" formatCode="[&lt;=9999999]###\-####;\(###\)\ ###\-####"/>
    <numFmt numFmtId="193" formatCode="0000"/>
  </numFmts>
  <fonts count="43"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8"/>
      <color indexed="8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2"/>
      <color indexed="12"/>
      <name val="Arial Cyr"/>
      <family val="0"/>
    </font>
    <font>
      <sz val="18"/>
      <name val="Arial Cyr"/>
      <family val="0"/>
    </font>
    <font>
      <i/>
      <sz val="14"/>
      <color indexed="17"/>
      <name val="Arial Cyr"/>
      <family val="0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6"/>
      <name val="Arial Cyr"/>
      <family val="0"/>
    </font>
    <font>
      <sz val="14.75"/>
      <name val="Arial Cyr"/>
      <family val="0"/>
    </font>
    <font>
      <sz val="17.25"/>
      <name val="Arial Cyr"/>
      <family val="0"/>
    </font>
    <font>
      <b/>
      <sz val="14"/>
      <color indexed="12"/>
      <name val="Arial Cyr"/>
      <family val="0"/>
    </font>
    <font>
      <sz val="14"/>
      <name val="Arial Cyr"/>
      <family val="0"/>
    </font>
    <font>
      <b/>
      <i/>
      <sz val="10"/>
      <color indexed="12"/>
      <name val="Arial Cyr"/>
      <family val="0"/>
    </font>
    <font>
      <b/>
      <sz val="18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  <font>
      <b/>
      <sz val="16"/>
      <color indexed="9"/>
      <name val="Arial Cyr"/>
      <family val="0"/>
    </font>
    <font>
      <b/>
      <sz val="10"/>
      <color indexed="9"/>
      <name val="Arial Cyr"/>
      <family val="0"/>
    </font>
    <font>
      <b/>
      <sz val="12"/>
      <color indexed="9"/>
      <name val="Arial Cyr"/>
      <family val="0"/>
    </font>
    <font>
      <b/>
      <sz val="14"/>
      <color indexed="9"/>
      <name val="Arial Cyr"/>
      <family val="0"/>
    </font>
    <font>
      <b/>
      <sz val="20"/>
      <color indexed="9"/>
      <name val="Arial Cyr"/>
      <family val="0"/>
    </font>
    <font>
      <b/>
      <sz val="11"/>
      <color indexed="9"/>
      <name val="Arial Cyr"/>
      <family val="0"/>
    </font>
    <font>
      <sz val="11"/>
      <color indexed="9"/>
      <name val="Arial Cyr"/>
      <family val="0"/>
    </font>
    <font>
      <sz val="9"/>
      <color indexed="9"/>
      <name val="Arial Cyr"/>
      <family val="0"/>
    </font>
    <font>
      <sz val="8"/>
      <color indexed="9"/>
      <name val="Arial Cyr"/>
      <family val="0"/>
    </font>
    <font>
      <u val="single"/>
      <sz val="16"/>
      <color indexed="17"/>
      <name val="Arial Cyr"/>
      <family val="0"/>
    </font>
    <font>
      <u val="single"/>
      <sz val="14"/>
      <color indexed="12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43"/>
      </patternFill>
    </fill>
    <fill>
      <patternFill patternType="darkGray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43"/>
      </patternFill>
    </fill>
    <fill>
      <patternFill patternType="darkGray">
        <fgColor indexed="43"/>
        <bgColor indexed="45"/>
      </patternFill>
    </fill>
    <fill>
      <patternFill patternType="mediumGray">
        <fgColor indexed="44"/>
        <b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 wrapText="1"/>
      <protection hidden="1"/>
    </xf>
    <xf numFmtId="0" fontId="0" fillId="2" borderId="4" xfId="0" applyFon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2" borderId="7" xfId="0" applyFill="1" applyBorder="1" applyAlignment="1" applyProtection="1">
      <alignment/>
      <protection hidden="1"/>
    </xf>
    <xf numFmtId="0" fontId="0" fillId="2" borderId="8" xfId="0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6" borderId="3" xfId="0" applyFont="1" applyFill="1" applyBorder="1" applyAlignment="1" applyProtection="1">
      <alignment horizontal="center" vertical="center"/>
      <protection hidden="1"/>
    </xf>
    <xf numFmtId="0" fontId="6" fillId="7" borderId="6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26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15" fillId="0" borderId="0" xfId="0" applyFont="1" applyFill="1" applyBorder="1" applyAlignment="1" applyProtection="1">
      <alignment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/>
      <protection hidden="1"/>
    </xf>
    <xf numFmtId="0" fontId="27" fillId="0" borderId="0" xfId="0" applyFont="1" applyFill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wrapText="1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wrapText="1"/>
      <protection hidden="1"/>
    </xf>
    <xf numFmtId="0" fontId="12" fillId="0" borderId="0" xfId="0" applyFont="1" applyFill="1" applyAlignment="1" applyProtection="1">
      <alignment wrapText="1"/>
      <protection hidden="1"/>
    </xf>
    <xf numFmtId="0" fontId="11" fillId="0" borderId="0" xfId="0" applyFont="1" applyFill="1" applyAlignment="1" applyProtection="1">
      <alignment/>
      <protection hidden="1"/>
    </xf>
    <xf numFmtId="0" fontId="9" fillId="0" borderId="0" xfId="0" applyNumberFormat="1" applyFont="1" applyFill="1" applyAlignment="1" applyProtection="1">
      <alignment/>
      <protection hidden="1"/>
    </xf>
    <xf numFmtId="174" fontId="9" fillId="0" borderId="0" xfId="0" applyNumberFormat="1" applyFont="1" applyFill="1" applyAlignment="1" applyProtection="1">
      <alignment wrapText="1"/>
      <protection hidden="1"/>
    </xf>
    <xf numFmtId="0" fontId="6" fillId="8" borderId="3" xfId="0" applyFont="1" applyFill="1" applyBorder="1" applyAlignment="1" applyProtection="1">
      <alignment/>
      <protection hidden="1"/>
    </xf>
    <xf numFmtId="0" fontId="6" fillId="8" borderId="10" xfId="0" applyFont="1" applyFill="1" applyBorder="1" applyAlignment="1" applyProtection="1">
      <alignment/>
      <protection hidden="1"/>
    </xf>
    <xf numFmtId="0" fontId="6" fillId="8" borderId="3" xfId="0" applyFont="1" applyFill="1" applyBorder="1" applyAlignment="1" applyProtection="1">
      <alignment horizontal="center" vertical="center"/>
      <protection hidden="1"/>
    </xf>
    <xf numFmtId="0" fontId="6" fillId="9" borderId="3" xfId="0" applyFont="1" applyFill="1" applyBorder="1" applyAlignment="1" applyProtection="1">
      <alignment/>
      <protection hidden="1"/>
    </xf>
    <xf numFmtId="0" fontId="0" fillId="9" borderId="11" xfId="0" applyFill="1" applyBorder="1" applyAlignment="1" applyProtection="1">
      <alignment/>
      <protection hidden="1"/>
    </xf>
    <xf numFmtId="0" fontId="6" fillId="9" borderId="12" xfId="0" applyFont="1" applyFill="1" applyBorder="1" applyAlignment="1" applyProtection="1">
      <alignment horizontal="center" vertical="center"/>
      <protection hidden="1"/>
    </xf>
    <xf numFmtId="0" fontId="5" fillId="10" borderId="10" xfId="0" applyFont="1" applyFill="1" applyBorder="1" applyAlignment="1" applyProtection="1">
      <alignment vertical="center"/>
      <protection hidden="1"/>
    </xf>
    <xf numFmtId="0" fontId="5" fillId="10" borderId="11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5" fillId="6" borderId="10" xfId="0" applyFont="1" applyFill="1" applyBorder="1" applyAlignment="1" applyProtection="1">
      <alignment horizontal="center" vertical="center"/>
      <protection hidden="1"/>
    </xf>
    <xf numFmtId="0" fontId="6" fillId="11" borderId="6" xfId="0" applyFont="1" applyFill="1" applyBorder="1" applyAlignment="1" applyProtection="1">
      <alignment horizontal="center" vertical="center"/>
      <protection hidden="1"/>
    </xf>
    <xf numFmtId="0" fontId="7" fillId="12" borderId="6" xfId="0" applyFont="1" applyFill="1" applyBorder="1" applyAlignment="1" applyProtection="1">
      <alignment horizontal="center" vertical="center"/>
      <protection hidden="1"/>
    </xf>
    <xf numFmtId="0" fontId="6" fillId="7" borderId="3" xfId="0" applyFont="1" applyFill="1" applyBorder="1" applyAlignment="1" applyProtection="1">
      <alignment/>
      <protection hidden="1"/>
    </xf>
    <xf numFmtId="0" fontId="6" fillId="7" borderId="11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13" fillId="0" borderId="0" xfId="0" applyFont="1" applyFill="1" applyBorder="1" applyAlignment="1" applyProtection="1">
      <alignment wrapText="1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/>
      <protection hidden="1"/>
    </xf>
    <xf numFmtId="0" fontId="30" fillId="0" borderId="0" xfId="0" applyFont="1" applyFill="1" applyAlignment="1" applyProtection="1">
      <alignment wrapText="1"/>
      <protection hidden="1"/>
    </xf>
    <xf numFmtId="0" fontId="34" fillId="0" borderId="0" xfId="0" applyFont="1" applyFill="1" applyAlignment="1" applyProtection="1">
      <alignment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/>
      <protection hidden="1"/>
    </xf>
    <xf numFmtId="0" fontId="30" fillId="0" borderId="0" xfId="0" applyFont="1" applyFill="1" applyBorder="1" applyAlignment="1" applyProtection="1">
      <alignment wrapText="1"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1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left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40" fillId="0" borderId="0" xfId="0" applyFont="1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8" fillId="0" borderId="0" xfId="0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Alignment="1" applyProtection="1">
      <alignment horizontal="left"/>
      <protection hidden="1"/>
    </xf>
    <xf numFmtId="0" fontId="39" fillId="0" borderId="0" xfId="0" applyFont="1" applyFill="1" applyBorder="1" applyAlignment="1" applyProtection="1">
      <alignment wrapText="1"/>
      <protection hidden="1"/>
    </xf>
    <xf numFmtId="0" fontId="31" fillId="0" borderId="0" xfId="0" applyFont="1" applyFill="1" applyBorder="1" applyAlignment="1" applyProtection="1">
      <alignment horizontal="left" wrapText="1"/>
      <protection hidden="1"/>
    </xf>
    <xf numFmtId="0" fontId="39" fillId="0" borderId="0" xfId="0" applyFont="1" applyFill="1" applyBorder="1" applyAlignment="1" applyProtection="1">
      <alignment horizontal="center" wrapText="1"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" fillId="3" borderId="11" xfId="0" applyFont="1" applyFill="1" applyBorder="1" applyAlignment="1" applyProtection="1">
      <alignment horizontal="left" vertical="center"/>
      <protection hidden="1"/>
    </xf>
    <xf numFmtId="0" fontId="18" fillId="5" borderId="3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Fill="1" applyBorder="1" applyAlignment="1" applyProtection="1">
      <alignment horizontal="center" wrapText="1"/>
      <protection hidden="1"/>
    </xf>
    <xf numFmtId="0" fontId="30" fillId="0" borderId="0" xfId="0" applyFont="1" applyFill="1" applyBorder="1" applyAlignment="1" applyProtection="1">
      <alignment horizontal="center" wrapText="1"/>
      <protection hidden="1"/>
    </xf>
    <xf numFmtId="0" fontId="35" fillId="0" borderId="0" xfId="0" applyFont="1" applyFill="1" applyBorder="1" applyAlignment="1" applyProtection="1">
      <alignment horizontal="center" wrapText="1"/>
      <protection hidden="1"/>
    </xf>
    <xf numFmtId="0" fontId="31" fillId="0" borderId="0" xfId="0" applyFont="1" applyFill="1" applyBorder="1" applyAlignment="1" applyProtection="1">
      <alignment horizontal="center" wrapText="1"/>
      <protection hidden="1"/>
    </xf>
    <xf numFmtId="0" fontId="37" fillId="0" borderId="0" xfId="0" applyFont="1" applyFill="1" applyBorder="1" applyAlignment="1" applyProtection="1">
      <alignment horizontal="center" wrapText="1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wrapText="1"/>
      <protection hidden="1"/>
    </xf>
    <xf numFmtId="0" fontId="1" fillId="0" borderId="13" xfId="0" applyFont="1" applyFill="1" applyBorder="1" applyAlignment="1" applyProtection="1">
      <alignment horizontal="center" wrapText="1"/>
      <protection hidden="1"/>
    </xf>
    <xf numFmtId="0" fontId="1" fillId="0" borderId="1" xfId="0" applyFont="1" applyFill="1" applyBorder="1" applyAlignment="1" applyProtection="1">
      <alignment horizontal="center" wrapText="1"/>
      <protection hidden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wrapText="1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7" fillId="7" borderId="3" xfId="0" applyFont="1" applyFill="1" applyBorder="1" applyAlignment="1" applyProtection="1">
      <alignment horizontal="center"/>
      <protection hidden="1"/>
    </xf>
    <xf numFmtId="0" fontId="7" fillId="7" borderId="11" xfId="0" applyFont="1" applyFill="1" applyBorder="1" applyAlignment="1" applyProtection="1">
      <alignment horizontal="center"/>
      <protection hidden="1"/>
    </xf>
    <xf numFmtId="0" fontId="5" fillId="6" borderId="3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left" vertical="center"/>
      <protection hidden="1"/>
    </xf>
    <xf numFmtId="0" fontId="18" fillId="5" borderId="11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7" fillId="7" borderId="3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7" fillId="11" borderId="3" xfId="0" applyFont="1" applyFill="1" applyBorder="1" applyAlignment="1" applyProtection="1">
      <alignment horizontal="center" vertical="center"/>
      <protection hidden="1"/>
    </xf>
    <xf numFmtId="0" fontId="7" fillId="11" borderId="11" xfId="0" applyFont="1" applyFill="1" applyBorder="1" applyAlignment="1" applyProtection="1">
      <alignment horizontal="center" vertical="center"/>
      <protection hidden="1"/>
    </xf>
    <xf numFmtId="0" fontId="5" fillId="10" borderId="3" xfId="0" applyFont="1" applyFill="1" applyBorder="1" applyAlignment="1" applyProtection="1">
      <alignment horizontal="center" vertical="center"/>
      <protection hidden="1"/>
    </xf>
    <xf numFmtId="0" fontId="5" fillId="10" borderId="10" xfId="0" applyFont="1" applyFill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/>
      <protection hidden="1" locked="0"/>
    </xf>
    <xf numFmtId="0" fontId="6" fillId="0" borderId="16" xfId="0" applyFont="1" applyBorder="1" applyAlignment="1" applyProtection="1">
      <alignment horizontal="center"/>
      <protection hidden="1" locked="0"/>
    </xf>
    <xf numFmtId="0" fontId="0" fillId="0" borderId="13" xfId="0" applyBorder="1" applyAlignment="1" applyProtection="1">
      <alignment horizontal="center" wrapText="1"/>
      <protection hidden="1"/>
    </xf>
    <xf numFmtId="0" fontId="6" fillId="4" borderId="3" xfId="0" applyFont="1" applyFill="1" applyBorder="1" applyAlignment="1" applyProtection="1">
      <alignment horizontal="left" vertical="center"/>
      <protection hidden="1"/>
    </xf>
    <xf numFmtId="0" fontId="6" fillId="4" borderId="11" xfId="0" applyFont="1" applyFill="1" applyBorder="1" applyAlignment="1" applyProtection="1">
      <alignment horizontal="left" vertical="center"/>
      <protection hidden="1"/>
    </xf>
    <xf numFmtId="0" fontId="6" fillId="12" borderId="3" xfId="0" applyFont="1" applyFill="1" applyBorder="1" applyAlignment="1" applyProtection="1">
      <alignment horizontal="left" vertical="center"/>
      <protection hidden="1"/>
    </xf>
    <xf numFmtId="0" fontId="6" fillId="12" borderId="10" xfId="0" applyFont="1" applyFill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 locked="0"/>
    </xf>
    <xf numFmtId="0" fontId="6" fillId="0" borderId="16" xfId="0" applyFont="1" applyFill="1" applyBorder="1" applyAlignment="1" applyProtection="1">
      <alignment horizontal="center" vertical="center"/>
      <protection hidden="1" locked="0"/>
    </xf>
    <xf numFmtId="0" fontId="5" fillId="13" borderId="3" xfId="0" applyFont="1" applyFill="1" applyBorder="1" applyAlignment="1" applyProtection="1">
      <alignment horizontal="center" vertical="center"/>
      <protection hidden="1"/>
    </xf>
    <xf numFmtId="0" fontId="5" fillId="13" borderId="10" xfId="0" applyFont="1" applyFill="1" applyBorder="1" applyAlignment="1" applyProtection="1">
      <alignment horizontal="center" vertical="center"/>
      <protection hidden="1"/>
    </xf>
    <xf numFmtId="0" fontId="5" fillId="13" borderId="11" xfId="0" applyFont="1" applyFill="1" applyBorder="1" applyAlignment="1" applyProtection="1">
      <alignment horizontal="center" vertical="center"/>
      <protection hidden="1"/>
    </xf>
    <xf numFmtId="0" fontId="7" fillId="12" borderId="3" xfId="0" applyFont="1" applyFill="1" applyBorder="1" applyAlignment="1" applyProtection="1">
      <alignment horizontal="center" vertical="center"/>
      <protection hidden="1"/>
    </xf>
    <xf numFmtId="0" fontId="7" fillId="12" borderId="11" xfId="0" applyFont="1" applyFill="1" applyBorder="1" applyAlignment="1" applyProtection="1">
      <alignment horizontal="center" vertical="center"/>
      <protection hidden="1"/>
    </xf>
    <xf numFmtId="0" fontId="6" fillId="7" borderId="3" xfId="0" applyFont="1" applyFill="1" applyBorder="1" applyAlignment="1" applyProtection="1">
      <alignment horizontal="left" vertical="center"/>
      <protection hidden="1"/>
    </xf>
    <xf numFmtId="0" fontId="6" fillId="7" borderId="10" xfId="0" applyFont="1" applyFill="1" applyBorder="1" applyAlignment="1" applyProtection="1">
      <alignment horizontal="left" vertical="center"/>
      <protection hidden="1"/>
    </xf>
    <xf numFmtId="0" fontId="6" fillId="11" borderId="3" xfId="0" applyFont="1" applyFill="1" applyBorder="1" applyAlignment="1" applyProtection="1">
      <alignment horizontal="left" vertical="center"/>
      <protection hidden="1"/>
    </xf>
    <xf numFmtId="0" fontId="6" fillId="11" borderId="10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19" fillId="2" borderId="10" xfId="0" applyFont="1" applyFill="1" applyBorder="1" applyAlignment="1" applyProtection="1">
      <alignment horizontal="center" vertical="center" wrapText="1"/>
      <protection hidden="1"/>
    </xf>
    <xf numFmtId="0" fontId="41" fillId="0" borderId="0" xfId="15" applyFont="1" applyAlignment="1" applyProtection="1">
      <alignment horizontal="center" vertical="center" wrapText="1"/>
      <protection hidden="1"/>
    </xf>
    <xf numFmtId="0" fontId="42" fillId="0" borderId="0" xfId="15" applyFont="1" applyAlignment="1" applyProtection="1">
      <alignment horizontal="center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yr"/>
                <a:ea typeface="Arial Cyr"/>
                <a:cs typeface="Arial Cyr"/>
              </a:rPr>
              <a:t>Расход через 1 водовыпуск  по длине ЭЛКО 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75"/>
          <c:w val="1"/>
          <c:h val="0.8495"/>
        </c:manualLayout>
      </c:layout>
      <c:lineChart>
        <c:grouping val="standard"/>
        <c:varyColors val="0"/>
        <c:ser>
          <c:idx val="1"/>
          <c:order val="0"/>
          <c:tx>
            <c:v>Фактический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Э!$N$7:$N$44</c:f>
              <c:numCache>
                <c:ptCount val="37"/>
                <c:pt idx="0">
                  <c:v>0</c:v>
                </c:pt>
                <c:pt idx="1">
                  <c:v>1.9</c:v>
                </c:pt>
                <c:pt idx="2">
                  <c:v>3.8</c:v>
                </c:pt>
                <c:pt idx="3">
                  <c:v>5.7</c:v>
                </c:pt>
                <c:pt idx="4">
                  <c:v>7.6</c:v>
                </c:pt>
                <c:pt idx="5">
                  <c:v>9.5</c:v>
                </c:pt>
                <c:pt idx="6">
                  <c:v>11.4</c:v>
                </c:pt>
                <c:pt idx="7">
                  <c:v>13.2</c:v>
                </c:pt>
                <c:pt idx="8">
                  <c:v>15.1</c:v>
                </c:pt>
                <c:pt idx="9">
                  <c:v>17</c:v>
                </c:pt>
                <c:pt idx="10">
                  <c:v>18.9</c:v>
                </c:pt>
                <c:pt idx="11">
                  <c:v>20.8</c:v>
                </c:pt>
                <c:pt idx="12">
                  <c:v>22.7</c:v>
                </c:pt>
                <c:pt idx="13">
                  <c:v>24.6</c:v>
                </c:pt>
                <c:pt idx="14">
                  <c:v>26.5</c:v>
                </c:pt>
                <c:pt idx="15">
                  <c:v>28.4</c:v>
                </c:pt>
                <c:pt idx="16">
                  <c:v>30.3</c:v>
                </c:pt>
                <c:pt idx="17">
                  <c:v>32.2</c:v>
                </c:pt>
                <c:pt idx="18">
                  <c:v>34.1</c:v>
                </c:pt>
                <c:pt idx="19">
                  <c:v>35.9</c:v>
                </c:pt>
                <c:pt idx="20">
                  <c:v>37.8</c:v>
                </c:pt>
                <c:pt idx="21">
                  <c:v>39.7</c:v>
                </c:pt>
                <c:pt idx="22">
                  <c:v>41.6</c:v>
                </c:pt>
                <c:pt idx="23">
                  <c:v>43.5</c:v>
                </c:pt>
                <c:pt idx="24">
                  <c:v>45.4</c:v>
                </c:pt>
                <c:pt idx="25">
                  <c:v>47.3</c:v>
                </c:pt>
                <c:pt idx="26">
                  <c:v>49.2</c:v>
                </c:pt>
                <c:pt idx="27">
                  <c:v>51.1</c:v>
                </c:pt>
                <c:pt idx="28">
                  <c:v>53</c:v>
                </c:pt>
                <c:pt idx="29">
                  <c:v>54.9</c:v>
                </c:pt>
                <c:pt idx="30">
                  <c:v>56.8</c:v>
                </c:pt>
                <c:pt idx="31">
                  <c:v>58.6</c:v>
                </c:pt>
                <c:pt idx="32">
                  <c:v>60.5</c:v>
                </c:pt>
                <c:pt idx="33">
                  <c:v>62.4</c:v>
                </c:pt>
                <c:pt idx="34">
                  <c:v>64.3</c:v>
                </c:pt>
                <c:pt idx="35">
                  <c:v>66.2</c:v>
                </c:pt>
                <c:pt idx="36">
                  <c:v>68.1</c:v>
                </c:pt>
              </c:numCache>
            </c:numRef>
          </c:cat>
          <c:val>
            <c:numRef>
              <c:f>Э!$C$7:$C$43</c:f>
              <c:numCache>
                <c:ptCount val="37"/>
                <c:pt idx="0">
                  <c:v>1.5921683328090657</c:v>
                </c:pt>
                <c:pt idx="1">
                  <c:v>1.5840058919800142</c:v>
                </c:pt>
                <c:pt idx="2">
                  <c:v>1.5762690638172916</c:v>
                </c:pt>
                <c:pt idx="3">
                  <c:v>1.5689443935182608</c:v>
                </c:pt>
                <c:pt idx="4">
                  <c:v>1.5620187716199938</c:v>
                </c:pt>
                <c:pt idx="5">
                  <c:v>1.555479411976252</c:v>
                </c:pt>
                <c:pt idx="6">
                  <c:v>1.5493138303752378</c:v>
                </c:pt>
                <c:pt idx="7">
                  <c:v>1.5435098237558218</c:v>
                </c:pt>
                <c:pt idx="8">
                  <c:v>1.5380554499804324</c:v>
                </c:pt>
                <c:pt idx="9">
                  <c:v>1.5329390081229877</c:v>
                </c:pt>
                <c:pt idx="10">
                  <c:v>1.5281490192300784</c:v>
                </c:pt>
                <c:pt idx="11">
                  <c:v>1.523674207513071</c:v>
                </c:pt>
                <c:pt idx="12">
                  <c:v>1.519503481927739</c:v>
                </c:pt>
                <c:pt idx="13">
                  <c:v>1.5156259180964275</c:v>
                </c:pt>
                <c:pt idx="14">
                  <c:v>1.5120307405254205</c:v>
                </c:pt>
                <c:pt idx="15">
                  <c:v>1.5087073050669986</c:v>
                </c:pt>
                <c:pt idx="16">
                  <c:v>1.5056450815713913</c:v>
                </c:pt>
                <c:pt idx="17">
                  <c:v>1.50283363666816</c:v>
                </c:pt>
                <c:pt idx="18">
                  <c:v>1.5002626166091435</c:v>
                </c:pt>
                <c:pt idx="19">
                  <c:v>1.4979217300953642</c:v>
                </c:pt>
                <c:pt idx="20">
                  <c:v>1.4958007309975654</c:v>
                </c:pt>
                <c:pt idx="21">
                  <c:v>1.4938894008632855</c:v>
                </c:pt>
                <c:pt idx="22">
                  <c:v>1.4921775310811383</c:v>
                </c:pt>
                <c:pt idx="23">
                  <c:v>1.4906549045431947</c:v>
                </c:pt>
                <c:pt idx="24">
                  <c:v>1.4893112766060075</c:v>
                </c:pt>
                <c:pt idx="25">
                  <c:v>1.4881363550952718</c:v>
                </c:pt>
                <c:pt idx="26">
                  <c:v>1.4871197790213158</c:v>
                </c:pt>
                <c:pt idx="27">
                  <c:v>1.4862510955613135</c:v>
                </c:pt>
                <c:pt idx="28">
                  <c:v>1.4855197347008724</c:v>
                </c:pt>
                <c:pt idx="29">
                  <c:v>1.484914980681096</c:v>
                </c:pt>
                <c:pt idx="30">
                  <c:v>1.4844259390115322</c:v>
                </c:pt>
                <c:pt idx="31">
                  <c:v>1.4840414971799096</c:v>
                </c:pt>
                <c:pt idx="32">
                  <c:v>1.4837502761070627</c:v>
                </c:pt>
                <c:pt idx="33">
                  <c:v>1.483540567407648</c:v>
                </c:pt>
                <c:pt idx="34">
                  <c:v>1.4834002475415193</c:v>
                </c:pt>
                <c:pt idx="35">
                  <c:v>1.4833166510077267</c:v>
                </c:pt>
                <c:pt idx="36">
                  <c:v>1.4832763609318986</c:v>
                </c:pt>
              </c:numCache>
            </c:numRef>
          </c:val>
          <c:smooth val="0"/>
        </c:ser>
        <c:ser>
          <c:idx val="2"/>
          <c:order val="1"/>
          <c:tx>
            <c:v>Средний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Э!$D$7:$D$43</c:f>
              <c:numCache>
                <c:ptCount val="37"/>
                <c:pt idx="0">
                  <c:v>1.538685926838121</c:v>
                </c:pt>
                <c:pt idx="1">
                  <c:v>1.538685926838121</c:v>
                </c:pt>
                <c:pt idx="2">
                  <c:v>1.538685926838121</c:v>
                </c:pt>
                <c:pt idx="3">
                  <c:v>1.538685926838121</c:v>
                </c:pt>
                <c:pt idx="4">
                  <c:v>1.538685926838121</c:v>
                </c:pt>
                <c:pt idx="5">
                  <c:v>1.538685926838121</c:v>
                </c:pt>
                <c:pt idx="6">
                  <c:v>1.538685926838121</c:v>
                </c:pt>
                <c:pt idx="7">
                  <c:v>1.538685926838121</c:v>
                </c:pt>
                <c:pt idx="8">
                  <c:v>1.538685926838121</c:v>
                </c:pt>
                <c:pt idx="9">
                  <c:v>1.538685926838121</c:v>
                </c:pt>
                <c:pt idx="10">
                  <c:v>1.538685926838121</c:v>
                </c:pt>
                <c:pt idx="11">
                  <c:v>1.538685926838121</c:v>
                </c:pt>
                <c:pt idx="12">
                  <c:v>1.538685926838121</c:v>
                </c:pt>
                <c:pt idx="13">
                  <c:v>1.538685926838121</c:v>
                </c:pt>
                <c:pt idx="14">
                  <c:v>1.538685926838121</c:v>
                </c:pt>
                <c:pt idx="15">
                  <c:v>1.538685926838121</c:v>
                </c:pt>
                <c:pt idx="16">
                  <c:v>1.538685926838121</c:v>
                </c:pt>
                <c:pt idx="17">
                  <c:v>1.538685926838121</c:v>
                </c:pt>
                <c:pt idx="18">
                  <c:v>1.538685926838121</c:v>
                </c:pt>
                <c:pt idx="19">
                  <c:v>1.538685926838121</c:v>
                </c:pt>
                <c:pt idx="20">
                  <c:v>1.538685926838121</c:v>
                </c:pt>
                <c:pt idx="21">
                  <c:v>1.538685926838121</c:v>
                </c:pt>
                <c:pt idx="22">
                  <c:v>1.538685926838121</c:v>
                </c:pt>
                <c:pt idx="23">
                  <c:v>1.538685926838121</c:v>
                </c:pt>
                <c:pt idx="24">
                  <c:v>1.538685926838121</c:v>
                </c:pt>
                <c:pt idx="25">
                  <c:v>1.538685926838121</c:v>
                </c:pt>
                <c:pt idx="26">
                  <c:v>1.538685926838121</c:v>
                </c:pt>
                <c:pt idx="27">
                  <c:v>1.538685926838121</c:v>
                </c:pt>
                <c:pt idx="28">
                  <c:v>1.538685926838121</c:v>
                </c:pt>
                <c:pt idx="29">
                  <c:v>1.538685926838121</c:v>
                </c:pt>
                <c:pt idx="30">
                  <c:v>1.538685926838121</c:v>
                </c:pt>
                <c:pt idx="31">
                  <c:v>1.538685926838121</c:v>
                </c:pt>
                <c:pt idx="32">
                  <c:v>1.538685926838121</c:v>
                </c:pt>
                <c:pt idx="33">
                  <c:v>1.538685926838121</c:v>
                </c:pt>
                <c:pt idx="34">
                  <c:v>1.538685926838121</c:v>
                </c:pt>
                <c:pt idx="35">
                  <c:v>1.538685926838121</c:v>
                </c:pt>
                <c:pt idx="36">
                  <c:v>1.538685926838121</c:v>
                </c:pt>
              </c:numCache>
            </c:numRef>
          </c:val>
          <c:smooth val="0"/>
        </c:ser>
        <c:marker val="1"/>
        <c:axId val="15070182"/>
        <c:axId val="1413911"/>
      </c:lineChart>
      <c:catAx>
        <c:axId val="15070182"/>
        <c:scaling>
          <c:orientation val="minMax"/>
        </c:scaling>
        <c:axPos val="b"/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413911"/>
        <c:crosses val="autoZero"/>
        <c:auto val="1"/>
        <c:lblOffset val="100"/>
        <c:tickLblSkip val="2"/>
        <c:noMultiLvlLbl val="0"/>
      </c:catAx>
      <c:valAx>
        <c:axId val="1413911"/>
        <c:scaling>
          <c:orientation val="minMax"/>
        </c:scaling>
        <c:axPos val="l"/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2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070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"/>
          <c:y val="0.9525"/>
          <c:w val="0.47175"/>
          <c:h val="0.0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4</xdr:row>
      <xdr:rowOff>47625</xdr:rowOff>
    </xdr:from>
    <xdr:to>
      <xdr:col>6</xdr:col>
      <xdr:colOff>428625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7534275" y="1257300"/>
          <a:ext cx="0" cy="238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752475</xdr:colOff>
      <xdr:row>18</xdr:row>
      <xdr:rowOff>0</xdr:rowOff>
    </xdr:from>
    <xdr:to>
      <xdr:col>6</xdr:col>
      <xdr:colOff>752475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7858125" y="4267200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95250</xdr:rowOff>
    </xdr:from>
    <xdr:to>
      <xdr:col>7</xdr:col>
      <xdr:colOff>381000</xdr:colOff>
      <xdr:row>35</xdr:row>
      <xdr:rowOff>666750</xdr:rowOff>
    </xdr:to>
    <xdr:graphicFrame>
      <xdr:nvGraphicFramePr>
        <xdr:cNvPr id="3" name="Chart 19"/>
        <xdr:cNvGraphicFramePr/>
      </xdr:nvGraphicFramePr>
      <xdr:xfrm>
        <a:off x="161925" y="4819650"/>
        <a:ext cx="87725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5</xdr:col>
      <xdr:colOff>419100</xdr:colOff>
      <xdr:row>33</xdr:row>
      <xdr:rowOff>161925</xdr:rowOff>
    </xdr:from>
    <xdr:ext cx="2009775" cy="219075"/>
    <xdr:sp>
      <xdr:nvSpPr>
        <xdr:cNvPr id="4" name="TextBox 20"/>
        <xdr:cNvSpPr txBox="1">
          <a:spLocks noChangeArrowheads="1"/>
        </xdr:cNvSpPr>
      </xdr:nvSpPr>
      <xdr:spPr>
        <a:xfrm>
          <a:off x="6886575" y="7686675"/>
          <a:ext cx="2009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Длина ЭЛКО в метрах</a:t>
          </a:r>
          <a:r>
            <a:rPr lang="en-US" cap="none" sz="1200" b="0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oneCellAnchor>
  <xdr:oneCellAnchor>
    <xdr:from>
      <xdr:col>1</xdr:col>
      <xdr:colOff>342900</xdr:colOff>
      <xdr:row>21</xdr:row>
      <xdr:rowOff>47625</xdr:rowOff>
    </xdr:from>
    <xdr:ext cx="552450" cy="209550"/>
    <xdr:sp>
      <xdr:nvSpPr>
        <xdr:cNvPr id="5" name="TextBox 21"/>
        <xdr:cNvSpPr txBox="1">
          <a:spLocks noChangeArrowheads="1"/>
        </xdr:cNvSpPr>
      </xdr:nvSpPr>
      <xdr:spPr>
        <a:xfrm>
          <a:off x="504825" y="4933950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л/час</a:t>
          </a:r>
        </a:p>
      </xdr:txBody>
    </xdr:sp>
    <xdr:clientData/>
  </xdr:oneCellAnchor>
  <xdr:twoCellAnchor>
    <xdr:from>
      <xdr:col>2</xdr:col>
      <xdr:colOff>533400</xdr:colOff>
      <xdr:row>31</xdr:row>
      <xdr:rowOff>219075</xdr:rowOff>
    </xdr:from>
    <xdr:to>
      <xdr:col>2</xdr:col>
      <xdr:colOff>1743075</xdr:colOff>
      <xdr:row>33</xdr:row>
      <xdr:rowOff>47625</xdr:rowOff>
    </xdr:to>
    <xdr:sp>
      <xdr:nvSpPr>
        <xdr:cNvPr id="6" name="TextBox 23"/>
        <xdr:cNvSpPr txBox="1">
          <a:spLocks noChangeArrowheads="1"/>
        </xdr:cNvSpPr>
      </xdr:nvSpPr>
      <xdr:spPr>
        <a:xfrm>
          <a:off x="1057275" y="7229475"/>
          <a:ext cx="120967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1" u="none" baseline="0">
              <a:solidFill>
                <a:srgbClr val="0000FF"/>
              </a:solidFill>
              <a:latin typeface="Arial Cyr"/>
              <a:ea typeface="Arial Cyr"/>
              <a:cs typeface="Arial Cyr"/>
            </a:rPr>
            <a:t>Разработчик: 
Завод "ФАКЕЛ"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kel.dn.ua/" TargetMode="External" /><Relationship Id="rId2" Type="http://schemas.openxmlformats.org/officeDocument/2006/relationships/hyperlink" Target="http://www.fakel.dn.ua/site/page.php?entid=1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/>
  <dimension ref="A1:AV94"/>
  <sheetViews>
    <sheetView workbookViewId="0" topLeftCell="A13">
      <selection activeCell="AA15" sqref="AA15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7.875" style="1" customWidth="1"/>
    <col min="4" max="4" width="7.625" style="1" customWidth="1"/>
    <col min="5" max="5" width="6.625" style="1" customWidth="1"/>
    <col min="6" max="6" width="5.375" style="1" customWidth="1"/>
    <col min="7" max="7" width="9.125" style="1" customWidth="1"/>
    <col min="8" max="8" width="6.625" style="1" customWidth="1"/>
    <col min="9" max="9" width="8.00390625" style="1" customWidth="1"/>
    <col min="10" max="10" width="9.25390625" style="1" customWidth="1"/>
    <col min="11" max="11" width="5.375" style="1" customWidth="1"/>
    <col min="12" max="12" width="6.125" style="1" customWidth="1"/>
    <col min="13" max="14" width="8.00390625" style="1" customWidth="1"/>
    <col min="15" max="15" width="7.25390625" style="1" customWidth="1"/>
    <col min="16" max="16" width="5.125" style="1" customWidth="1"/>
    <col min="17" max="17" width="4.25390625" style="1" customWidth="1"/>
    <col min="18" max="18" width="7.125" style="1" customWidth="1"/>
    <col min="19" max="19" width="7.25390625" style="1" customWidth="1"/>
    <col min="20" max="20" width="8.625" style="1" customWidth="1"/>
    <col min="21" max="21" width="10.875" style="1" customWidth="1"/>
    <col min="22" max="23" width="10.25390625" style="1" customWidth="1"/>
    <col min="24" max="25" width="9.125" style="1" customWidth="1"/>
    <col min="26" max="26" width="6.375" style="1" customWidth="1"/>
    <col min="27" max="29" width="6.875" style="1" customWidth="1"/>
    <col min="30" max="31" width="11.75390625" style="1" customWidth="1"/>
    <col min="32" max="33" width="9.125" style="1" customWidth="1"/>
    <col min="34" max="34" width="15.25390625" style="1" customWidth="1"/>
    <col min="35" max="38" width="9.125" style="1" customWidth="1"/>
    <col min="39" max="39" width="11.375" style="1" customWidth="1"/>
    <col min="40" max="16384" width="9.125" style="1" customWidth="1"/>
  </cols>
  <sheetData>
    <row r="1" spans="1:23" ht="16.5" customHeight="1">
      <c r="A1" s="65"/>
      <c r="B1" s="107" t="s">
        <v>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8"/>
      <c r="V1" s="66"/>
      <c r="W1" s="67"/>
    </row>
    <row r="2" spans="1:34" ht="6" customHeight="1">
      <c r="A2" s="72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78"/>
      <c r="W2" s="33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</row>
    <row r="3" spans="1:48" ht="26.25" customHeight="1">
      <c r="A3" s="72" t="s">
        <v>32</v>
      </c>
      <c r="B3" s="77">
        <v>0.92</v>
      </c>
      <c r="C3" s="99" t="s">
        <v>48</v>
      </c>
      <c r="D3" s="109" t="s">
        <v>49</v>
      </c>
      <c r="E3" s="79"/>
      <c r="F3" s="100" t="s">
        <v>50</v>
      </c>
      <c r="G3" s="101" t="s">
        <v>51</v>
      </c>
      <c r="H3" s="101" t="s">
        <v>52</v>
      </c>
      <c r="I3" s="110" t="s">
        <v>53</v>
      </c>
      <c r="J3" s="99" t="s">
        <v>54</v>
      </c>
      <c r="K3" s="106" t="s">
        <v>55</v>
      </c>
      <c r="L3" s="106" t="s">
        <v>56</v>
      </c>
      <c r="M3" s="106" t="s">
        <v>57</v>
      </c>
      <c r="N3" s="101" t="s">
        <v>58</v>
      </c>
      <c r="O3" s="106" t="s">
        <v>59</v>
      </c>
      <c r="P3" s="106" t="s">
        <v>60</v>
      </c>
      <c r="Q3" s="103" t="s">
        <v>61</v>
      </c>
      <c r="R3" s="101" t="s">
        <v>62</v>
      </c>
      <c r="S3" s="101" t="s">
        <v>63</v>
      </c>
      <c r="T3" s="99" t="s">
        <v>64</v>
      </c>
      <c r="U3" s="101" t="s">
        <v>65</v>
      </c>
      <c r="V3" s="77"/>
      <c r="W3" s="77"/>
      <c r="X3" s="70"/>
      <c r="Y3" s="70"/>
      <c r="Z3" s="46"/>
      <c r="AA3" s="47"/>
      <c r="AB3" s="47"/>
      <c r="AC3" s="47"/>
      <c r="AD3" s="47"/>
      <c r="AE3" s="47"/>
      <c r="AO3" s="46"/>
      <c r="AP3" s="46"/>
      <c r="AQ3" s="46"/>
      <c r="AR3" s="46"/>
      <c r="AS3" s="46"/>
      <c r="AT3" s="46"/>
      <c r="AU3" s="46"/>
      <c r="AV3" s="46"/>
    </row>
    <row r="4" spans="1:48" ht="23.25" customHeight="1">
      <c r="A4" s="72" t="s">
        <v>33</v>
      </c>
      <c r="B4" s="77">
        <v>1.3</v>
      </c>
      <c r="C4" s="100"/>
      <c r="D4" s="109"/>
      <c r="E4" s="79"/>
      <c r="F4" s="100"/>
      <c r="G4" s="100"/>
      <c r="H4" s="100"/>
      <c r="I4" s="99"/>
      <c r="J4" s="99"/>
      <c r="K4" s="99"/>
      <c r="L4" s="101"/>
      <c r="M4" s="106"/>
      <c r="N4" s="100"/>
      <c r="O4" s="106"/>
      <c r="P4" s="106"/>
      <c r="Q4" s="101"/>
      <c r="R4" s="102"/>
      <c r="S4" s="99"/>
      <c r="T4" s="99"/>
      <c r="U4" s="99"/>
      <c r="V4" s="77"/>
      <c r="W4" s="77"/>
      <c r="X4" s="70"/>
      <c r="Y4" s="70"/>
      <c r="Z4" s="46"/>
      <c r="AA4" s="47"/>
      <c r="AB4" s="47"/>
      <c r="AC4" s="47"/>
      <c r="AD4" s="47"/>
      <c r="AE4" s="47"/>
      <c r="AO4" s="46"/>
      <c r="AP4" s="46"/>
      <c r="AQ4" s="46"/>
      <c r="AR4" s="46"/>
      <c r="AS4" s="46"/>
      <c r="AT4" s="46"/>
      <c r="AU4" s="46"/>
      <c r="AV4" s="46"/>
    </row>
    <row r="5" spans="1:48" ht="23.25" customHeight="1">
      <c r="A5" s="72" t="s">
        <v>34</v>
      </c>
      <c r="B5" s="77"/>
      <c r="C5" s="100"/>
      <c r="D5" s="109"/>
      <c r="E5" s="79"/>
      <c r="F5" s="100"/>
      <c r="G5" s="100"/>
      <c r="H5" s="100"/>
      <c r="I5" s="99"/>
      <c r="J5" s="99"/>
      <c r="K5" s="99"/>
      <c r="L5" s="101"/>
      <c r="M5" s="106"/>
      <c r="N5" s="100"/>
      <c r="O5" s="106"/>
      <c r="P5" s="106"/>
      <c r="Q5" s="101"/>
      <c r="R5" s="102"/>
      <c r="S5" s="99"/>
      <c r="T5" s="99"/>
      <c r="U5" s="99"/>
      <c r="V5" s="77"/>
      <c r="W5" s="77"/>
      <c r="X5" s="70"/>
      <c r="Y5" s="70"/>
      <c r="Z5" s="46"/>
      <c r="AA5" s="47"/>
      <c r="AB5" s="47"/>
      <c r="AC5" s="47"/>
      <c r="AD5" s="47"/>
      <c r="AE5" s="47"/>
      <c r="AO5" s="46"/>
      <c r="AP5" s="46"/>
      <c r="AQ5" s="46"/>
      <c r="AR5" s="46"/>
      <c r="AS5" s="46"/>
      <c r="AT5" s="46"/>
      <c r="AU5" s="46"/>
      <c r="AV5" s="46"/>
    </row>
    <row r="6" spans="1:48" ht="50.25" customHeight="1">
      <c r="A6" s="72"/>
      <c r="B6" s="77">
        <v>1.72</v>
      </c>
      <c r="C6" s="100"/>
      <c r="D6" s="109"/>
      <c r="E6" s="79"/>
      <c r="F6" s="100"/>
      <c r="G6" s="100"/>
      <c r="H6" s="100"/>
      <c r="I6" s="99"/>
      <c r="J6" s="99"/>
      <c r="K6" s="99"/>
      <c r="L6" s="101"/>
      <c r="M6" s="106"/>
      <c r="N6" s="100"/>
      <c r="O6" s="106"/>
      <c r="P6" s="106"/>
      <c r="Q6" s="101"/>
      <c r="R6" s="102"/>
      <c r="S6" s="99"/>
      <c r="T6" s="99"/>
      <c r="U6" s="99"/>
      <c r="V6" s="77"/>
      <c r="W6" s="77"/>
      <c r="X6" s="70"/>
      <c r="Y6" s="70"/>
      <c r="Z6" s="46"/>
      <c r="AA6" s="47"/>
      <c r="AB6" s="47"/>
      <c r="AC6" s="47"/>
      <c r="AD6" s="47"/>
      <c r="AE6" s="47"/>
      <c r="AO6" s="46"/>
      <c r="AP6" s="46"/>
      <c r="AQ6" s="46"/>
      <c r="AR6" s="46"/>
      <c r="AS6" s="46"/>
      <c r="AT6" s="46"/>
      <c r="AU6" s="46"/>
      <c r="AV6" s="46"/>
    </row>
    <row r="7" spans="1:25" s="48" customFormat="1" ht="18" customHeight="1">
      <c r="A7" s="80"/>
      <c r="B7" s="81">
        <f>IF(T46=0,1,IF(ЭЛКО!F6=1,0.92,IF(ЭЛКО!F6=2,1.3,IF(ЭЛКО!F6=3,1.72))))</f>
        <v>1.3</v>
      </c>
      <c r="C7" s="82">
        <f>G7^0.5*B7</f>
        <v>1.5921683328090657</v>
      </c>
      <c r="D7" s="75">
        <f>G44^0.5*B7</f>
        <v>1.538685926838121</v>
      </c>
      <c r="E7" s="75">
        <f>ЭЛКО!F10^0.5*Э!B7</f>
        <v>1.5921683328090657</v>
      </c>
      <c r="F7" s="82">
        <f>IF(ЭЛКО!F8&lt;19,0,IF(ЭЛКО!F8=0,0.1,1/ЭЛКО!F8*100))</f>
        <v>3.3333333333333335</v>
      </c>
      <c r="G7" s="82">
        <f>ЭЛКО!F10</f>
        <v>1.5</v>
      </c>
      <c r="H7" s="82">
        <f>M7</f>
        <v>1.8918918918918919</v>
      </c>
      <c r="I7" s="75">
        <f>(C7+C8)/2*F7*M7</f>
        <v>10.014963771857458</v>
      </c>
      <c r="J7" s="82">
        <f aca="true" t="shared" si="0" ref="J7:J43">C7*F7*O7</f>
        <v>371.50594432211534</v>
      </c>
      <c r="K7" s="82">
        <v>16</v>
      </c>
      <c r="L7" s="82">
        <f>L45*(100-F7/1.25)/100</f>
        <v>13.334666666666665</v>
      </c>
      <c r="M7" s="82">
        <f>O7/37</f>
        <v>1.8918918918918919</v>
      </c>
      <c r="N7" s="83">
        <v>0</v>
      </c>
      <c r="O7" s="82">
        <f>ЭЛКО!F7</f>
        <v>70</v>
      </c>
      <c r="P7" s="82">
        <f>ЭЛКО!F9</f>
        <v>0</v>
      </c>
      <c r="Q7" s="82">
        <f>P7/O7*M7</f>
        <v>0</v>
      </c>
      <c r="R7" s="82">
        <f>(L7/2)^2*3.14</f>
        <v>139.5834680622222</v>
      </c>
      <c r="S7" s="82">
        <f>J7/1000/R7*278</f>
        <v>0.7399060501599622</v>
      </c>
      <c r="T7" s="82">
        <f aca="true" t="shared" si="1" ref="T7:T43">0.000785*(S7^1.8)/(L7/1000)^1.226*1000/1.12</f>
        <v>81.0851533716148</v>
      </c>
      <c r="U7" s="82">
        <f>(T7/1000*M7/10)+Q7/10</f>
        <v>0.015340434421656852</v>
      </c>
      <c r="V7" s="80"/>
      <c r="W7" s="80"/>
      <c r="X7" s="71"/>
      <c r="Y7" s="71"/>
    </row>
    <row r="8" spans="1:34" ht="15" customHeight="1">
      <c r="A8" s="72"/>
      <c r="B8" s="84">
        <f>B7</f>
        <v>1.3</v>
      </c>
      <c r="C8" s="82">
        <f aca="true" t="shared" si="2" ref="C8:C43">IF(G8&lt;0.01,0,G8^0.5*B8)</f>
        <v>1.5840058919800142</v>
      </c>
      <c r="D8" s="75">
        <f>D7</f>
        <v>1.538685926838121</v>
      </c>
      <c r="E8" s="75">
        <f>E7</f>
        <v>1.5921683328090657</v>
      </c>
      <c r="F8" s="82">
        <f aca="true" t="shared" si="3" ref="F8:F43">F7</f>
        <v>3.3333333333333335</v>
      </c>
      <c r="G8" s="82">
        <f aca="true" t="shared" si="4" ref="G8:G43">G7-U7</f>
        <v>1.4846595655783432</v>
      </c>
      <c r="H8" s="82">
        <f aca="true" t="shared" si="5" ref="H8:H43">H7+M7</f>
        <v>3.7837837837837838</v>
      </c>
      <c r="I8" s="75">
        <f aca="true" t="shared" si="6" ref="I8:I42">(C8+C9)/2*F8*M8</f>
        <v>9.964830941703216</v>
      </c>
      <c r="J8" s="82">
        <f t="shared" si="0"/>
        <v>359.6121484495168</v>
      </c>
      <c r="K8" s="82">
        <f aca="true" t="shared" si="7" ref="K8:M43">K7</f>
        <v>16</v>
      </c>
      <c r="L8" s="82">
        <f t="shared" si="7"/>
        <v>13.334666666666665</v>
      </c>
      <c r="M8" s="82">
        <f>M7</f>
        <v>1.8918918918918919</v>
      </c>
      <c r="N8" s="82">
        <f aca="true" t="shared" si="8" ref="N8:N44">ROUND(H7,1)</f>
        <v>1.9</v>
      </c>
      <c r="O8" s="82">
        <f>O7-M7</f>
        <v>68.10810810810811</v>
      </c>
      <c r="P8" s="82"/>
      <c r="Q8" s="82">
        <f aca="true" t="shared" si="9" ref="Q8:Q43">Q7</f>
        <v>0</v>
      </c>
      <c r="R8" s="82">
        <f aca="true" t="shared" si="10" ref="R8:R43">(L8/2)^2*3.14</f>
        <v>139.5834680622222</v>
      </c>
      <c r="S8" s="82">
        <f aca="true" t="shared" si="11" ref="S8:S43">J8/1000/R8*278</f>
        <v>0.7162178921102678</v>
      </c>
      <c r="T8" s="82">
        <f t="shared" si="1"/>
        <v>76.47241406242648</v>
      </c>
      <c r="U8" s="82">
        <f aca="true" t="shared" si="12" ref="U8:U43">(T8/1000*M8/10)+Q8/10</f>
        <v>0.014467754011810417</v>
      </c>
      <c r="V8" s="72"/>
      <c r="W8" s="72"/>
      <c r="X8" s="69"/>
      <c r="Y8" s="71"/>
      <c r="Z8" s="49"/>
      <c r="AA8" s="49"/>
      <c r="AB8" s="49"/>
      <c r="AC8" s="49"/>
      <c r="AD8" s="49"/>
      <c r="AE8" s="49"/>
      <c r="AH8" s="50"/>
    </row>
    <row r="9" spans="1:34" ht="15.75">
      <c r="A9" s="72"/>
      <c r="B9" s="84">
        <f aca="true" t="shared" si="13" ref="B9:B43">B8</f>
        <v>1.3</v>
      </c>
      <c r="C9" s="82">
        <f t="shared" si="2"/>
        <v>1.5762690638172916</v>
      </c>
      <c r="D9" s="75">
        <f aca="true" t="shared" si="14" ref="D9:D43">D8</f>
        <v>1.538685926838121</v>
      </c>
      <c r="E9" s="75">
        <f aca="true" t="shared" si="15" ref="E9:E43">E8</f>
        <v>1.5921683328090657</v>
      </c>
      <c r="F9" s="82">
        <f t="shared" si="3"/>
        <v>3.3333333333333335</v>
      </c>
      <c r="G9" s="82">
        <f t="shared" si="4"/>
        <v>1.470191811566533</v>
      </c>
      <c r="H9" s="82">
        <f t="shared" si="5"/>
        <v>5.675675675675675</v>
      </c>
      <c r="I9" s="75">
        <f t="shared" si="6"/>
        <v>9.917339730337329</v>
      </c>
      <c r="J9" s="82">
        <f t="shared" si="0"/>
        <v>347.91524381552836</v>
      </c>
      <c r="K9" s="82">
        <f t="shared" si="7"/>
        <v>16</v>
      </c>
      <c r="L9" s="82">
        <f t="shared" si="7"/>
        <v>13.334666666666665</v>
      </c>
      <c r="M9" s="82">
        <f t="shared" si="7"/>
        <v>1.8918918918918919</v>
      </c>
      <c r="N9" s="82">
        <f t="shared" si="8"/>
        <v>3.8</v>
      </c>
      <c r="O9" s="82">
        <f aca="true" t="shared" si="16" ref="O9:O43">O8-M8</f>
        <v>66.21621621621622</v>
      </c>
      <c r="P9" s="82"/>
      <c r="Q9" s="82">
        <f t="shared" si="9"/>
        <v>0</v>
      </c>
      <c r="R9" s="82">
        <f t="shared" si="10"/>
        <v>139.5834680622222</v>
      </c>
      <c r="S9" s="82">
        <f t="shared" si="11"/>
        <v>0.692921870501181</v>
      </c>
      <c r="T9" s="82">
        <f t="shared" si="1"/>
        <v>72.05351724574388</v>
      </c>
      <c r="U9" s="82">
        <f t="shared" si="12"/>
        <v>0.013631746505951545</v>
      </c>
      <c r="V9" s="72"/>
      <c r="W9" s="72"/>
      <c r="X9" s="69"/>
      <c r="Y9" s="71"/>
      <c r="Z9" s="49"/>
      <c r="AA9" s="49"/>
      <c r="AB9" s="49"/>
      <c r="AC9" s="49"/>
      <c r="AD9" s="49"/>
      <c r="AE9" s="49"/>
      <c r="AH9" s="50"/>
    </row>
    <row r="10" spans="1:34" ht="15.75">
      <c r="A10" s="72"/>
      <c r="B10" s="84">
        <f t="shared" si="13"/>
        <v>1.3</v>
      </c>
      <c r="C10" s="82">
        <f t="shared" si="2"/>
        <v>1.5689443935182608</v>
      </c>
      <c r="D10" s="75">
        <f t="shared" si="14"/>
        <v>1.538685926838121</v>
      </c>
      <c r="E10" s="75">
        <f t="shared" si="15"/>
        <v>1.5921683328090657</v>
      </c>
      <c r="F10" s="82">
        <f t="shared" si="3"/>
        <v>3.3333333333333335</v>
      </c>
      <c r="G10" s="82">
        <f t="shared" si="4"/>
        <v>1.4565600650605814</v>
      </c>
      <c r="H10" s="82">
        <f t="shared" si="5"/>
        <v>7.5675675675675675</v>
      </c>
      <c r="I10" s="75">
        <f t="shared" si="6"/>
        <v>9.872406376562065</v>
      </c>
      <c r="J10" s="82">
        <f t="shared" si="0"/>
        <v>336.40429338499655</v>
      </c>
      <c r="K10" s="82">
        <f t="shared" si="7"/>
        <v>16</v>
      </c>
      <c r="L10" s="82">
        <f t="shared" si="7"/>
        <v>13.334666666666665</v>
      </c>
      <c r="M10" s="82">
        <f t="shared" si="7"/>
        <v>1.8918918918918919</v>
      </c>
      <c r="N10" s="82">
        <f t="shared" si="8"/>
        <v>5.7</v>
      </c>
      <c r="O10" s="82">
        <f t="shared" si="16"/>
        <v>64.32432432432434</v>
      </c>
      <c r="P10" s="82"/>
      <c r="Q10" s="82">
        <f t="shared" si="9"/>
        <v>0</v>
      </c>
      <c r="R10" s="82">
        <f t="shared" si="10"/>
        <v>139.5834680622222</v>
      </c>
      <c r="S10" s="82">
        <f t="shared" si="11"/>
        <v>0.6699962026974455</v>
      </c>
      <c r="T10" s="82">
        <f t="shared" si="1"/>
        <v>67.81936442844453</v>
      </c>
      <c r="U10" s="82">
        <f t="shared" si="12"/>
        <v>0.01283069056754356</v>
      </c>
      <c r="V10" s="72"/>
      <c r="W10" s="72"/>
      <c r="X10" s="69"/>
      <c r="Y10" s="71"/>
      <c r="Z10" s="49"/>
      <c r="AA10" s="49"/>
      <c r="AB10" s="49"/>
      <c r="AC10" s="49"/>
      <c r="AD10" s="49"/>
      <c r="AE10" s="49"/>
      <c r="AH10" s="50"/>
    </row>
    <row r="11" spans="1:29" ht="12.75" customHeight="1">
      <c r="A11" s="72"/>
      <c r="B11" s="84">
        <f t="shared" si="13"/>
        <v>1.3</v>
      </c>
      <c r="C11" s="82">
        <f>IF(G11&lt;0.01,0,G11^0.5*B11)</f>
        <v>1.5620187716199938</v>
      </c>
      <c r="D11" s="75">
        <f t="shared" si="14"/>
        <v>1.538685926838121</v>
      </c>
      <c r="E11" s="75">
        <f t="shared" si="15"/>
        <v>1.5921683328090657</v>
      </c>
      <c r="F11" s="82">
        <f t="shared" si="3"/>
        <v>3.3333333333333335</v>
      </c>
      <c r="G11" s="82">
        <f t="shared" si="4"/>
        <v>1.443729374493038</v>
      </c>
      <c r="H11" s="82">
        <f t="shared" si="5"/>
        <v>9.45945945945946</v>
      </c>
      <c r="I11" s="75">
        <f t="shared" si="6"/>
        <v>9.829949227555732</v>
      </c>
      <c r="J11" s="82">
        <f t="shared" si="0"/>
        <v>325.06877139118797</v>
      </c>
      <c r="K11" s="82">
        <f t="shared" si="7"/>
        <v>16</v>
      </c>
      <c r="L11" s="82">
        <f t="shared" si="7"/>
        <v>13.334666666666665</v>
      </c>
      <c r="M11" s="82">
        <f t="shared" si="7"/>
        <v>1.8918918918918919</v>
      </c>
      <c r="N11" s="82">
        <f t="shared" si="8"/>
        <v>7.6</v>
      </c>
      <c r="O11" s="82">
        <f t="shared" si="16"/>
        <v>62.43243243243244</v>
      </c>
      <c r="P11" s="82"/>
      <c r="Q11" s="82">
        <f t="shared" si="9"/>
        <v>0</v>
      </c>
      <c r="R11" s="82">
        <f t="shared" si="10"/>
        <v>139.5834680622222</v>
      </c>
      <c r="S11" s="82">
        <f t="shared" si="11"/>
        <v>0.6474199251623863</v>
      </c>
      <c r="T11" s="82">
        <f t="shared" si="1"/>
        <v>63.76148326425613</v>
      </c>
      <c r="U11" s="82">
        <f t="shared" si="12"/>
        <v>0.012062983320264672</v>
      </c>
      <c r="V11" s="72"/>
      <c r="W11" s="72"/>
      <c r="X11" s="69"/>
      <c r="Y11" s="71"/>
      <c r="Z11" s="49"/>
      <c r="AA11" s="49"/>
      <c r="AC11" s="49"/>
    </row>
    <row r="12" spans="1:29" ht="12.75" customHeight="1">
      <c r="A12" s="72"/>
      <c r="B12" s="84">
        <f t="shared" si="13"/>
        <v>1.3</v>
      </c>
      <c r="C12" s="82">
        <f t="shared" si="2"/>
        <v>1.555479411976252</v>
      </c>
      <c r="D12" s="75">
        <f t="shared" si="14"/>
        <v>1.538685926838121</v>
      </c>
      <c r="E12" s="75">
        <f t="shared" si="15"/>
        <v>1.5921683328090657</v>
      </c>
      <c r="F12" s="82">
        <f t="shared" si="3"/>
        <v>3.3333333333333335</v>
      </c>
      <c r="G12" s="82">
        <f t="shared" si="4"/>
        <v>1.4316663911727734</v>
      </c>
      <c r="H12" s="82">
        <f t="shared" si="5"/>
        <v>11.35135135135135</v>
      </c>
      <c r="I12" s="75">
        <f t="shared" si="6"/>
        <v>9.789888602009203</v>
      </c>
      <c r="J12" s="82">
        <f t="shared" si="0"/>
        <v>313.8985480024149</v>
      </c>
      <c r="K12" s="82">
        <f t="shared" si="7"/>
        <v>16</v>
      </c>
      <c r="L12" s="82">
        <f t="shared" si="7"/>
        <v>13.334666666666665</v>
      </c>
      <c r="M12" s="82">
        <f t="shared" si="7"/>
        <v>1.8918918918918919</v>
      </c>
      <c r="N12" s="82">
        <f t="shared" si="8"/>
        <v>9.5</v>
      </c>
      <c r="O12" s="82">
        <f t="shared" si="16"/>
        <v>60.54054054054055</v>
      </c>
      <c r="P12" s="82"/>
      <c r="Q12" s="82">
        <f t="shared" si="9"/>
        <v>0</v>
      </c>
      <c r="R12" s="82">
        <f t="shared" si="10"/>
        <v>139.5834680622222</v>
      </c>
      <c r="S12" s="82">
        <f t="shared" si="11"/>
        <v>0.6251728629193517</v>
      </c>
      <c r="T12" s="82">
        <f t="shared" si="1"/>
        <v>59.87199284275892</v>
      </c>
      <c r="U12" s="82">
        <f t="shared" si="12"/>
        <v>0.011327133781062499</v>
      </c>
      <c r="V12" s="72"/>
      <c r="W12" s="72"/>
      <c r="X12" s="69"/>
      <c r="Y12" s="71"/>
      <c r="Z12" s="49"/>
      <c r="AA12" s="49"/>
      <c r="AC12" s="49"/>
    </row>
    <row r="13" spans="1:29" ht="12.75" customHeight="1">
      <c r="A13" s="72"/>
      <c r="B13" s="84">
        <f t="shared" si="13"/>
        <v>1.3</v>
      </c>
      <c r="C13" s="82">
        <f t="shared" si="2"/>
        <v>1.5493138303752378</v>
      </c>
      <c r="D13" s="75">
        <f t="shared" si="14"/>
        <v>1.538685926838121</v>
      </c>
      <c r="E13" s="75">
        <f t="shared" si="15"/>
        <v>1.5921683328090657</v>
      </c>
      <c r="F13" s="82">
        <f t="shared" si="3"/>
        <v>3.3333333333333335</v>
      </c>
      <c r="G13" s="82">
        <f t="shared" si="4"/>
        <v>1.4203392573917109</v>
      </c>
      <c r="H13" s="82">
        <f t="shared" si="5"/>
        <v>13.243243243243242</v>
      </c>
      <c r="I13" s="75">
        <f t="shared" si="6"/>
        <v>9.752146657170007</v>
      </c>
      <c r="J13" s="82">
        <f t="shared" si="0"/>
        <v>302.8838749472312</v>
      </c>
      <c r="K13" s="82">
        <f t="shared" si="7"/>
        <v>16</v>
      </c>
      <c r="L13" s="82">
        <f t="shared" si="7"/>
        <v>13.334666666666665</v>
      </c>
      <c r="M13" s="82">
        <f t="shared" si="7"/>
        <v>1.8918918918918919</v>
      </c>
      <c r="N13" s="82">
        <f t="shared" si="8"/>
        <v>11.4</v>
      </c>
      <c r="O13" s="82">
        <f t="shared" si="16"/>
        <v>58.64864864864865</v>
      </c>
      <c r="P13" s="82"/>
      <c r="Q13" s="82">
        <f t="shared" si="9"/>
        <v>0</v>
      </c>
      <c r="R13" s="82">
        <f t="shared" si="10"/>
        <v>139.5834680622222</v>
      </c>
      <c r="S13" s="82">
        <f t="shared" si="11"/>
        <v>0.6032356009222785</v>
      </c>
      <c r="T13" s="82">
        <f t="shared" si="1"/>
        <v>56.14357156101098</v>
      </c>
      <c r="U13" s="82">
        <f t="shared" si="12"/>
        <v>0.010621756781812887</v>
      </c>
      <c r="V13" s="72"/>
      <c r="W13" s="72"/>
      <c r="X13" s="69"/>
      <c r="Y13" s="71"/>
      <c r="Z13" s="49"/>
      <c r="AA13" s="49"/>
      <c r="AC13" s="49"/>
    </row>
    <row r="14" spans="1:29" ht="12.75" customHeight="1">
      <c r="A14" s="72"/>
      <c r="B14" s="84">
        <f t="shared" si="13"/>
        <v>1.3</v>
      </c>
      <c r="C14" s="82">
        <f t="shared" si="2"/>
        <v>1.5435098237558218</v>
      </c>
      <c r="D14" s="75">
        <f t="shared" si="14"/>
        <v>1.538685926838121</v>
      </c>
      <c r="E14" s="75">
        <f t="shared" si="15"/>
        <v>1.5921683328090657</v>
      </c>
      <c r="F14" s="82">
        <f t="shared" si="3"/>
        <v>3.3333333333333335</v>
      </c>
      <c r="G14" s="82">
        <f t="shared" si="4"/>
        <v>1.4097175006098979</v>
      </c>
      <c r="H14" s="82">
        <f t="shared" si="5"/>
        <v>15.135135135135133</v>
      </c>
      <c r="I14" s="75">
        <f t="shared" si="6"/>
        <v>9.716647259528731</v>
      </c>
      <c r="J14" s="82">
        <f t="shared" si="0"/>
        <v>292.0153720619122</v>
      </c>
      <c r="K14" s="82">
        <f t="shared" si="7"/>
        <v>16</v>
      </c>
      <c r="L14" s="82">
        <f t="shared" si="7"/>
        <v>13.334666666666665</v>
      </c>
      <c r="M14" s="82">
        <f t="shared" si="7"/>
        <v>1.8918918918918919</v>
      </c>
      <c r="N14" s="82">
        <f t="shared" si="8"/>
        <v>13.2</v>
      </c>
      <c r="O14" s="82">
        <f t="shared" si="16"/>
        <v>56.75675675675676</v>
      </c>
      <c r="P14" s="82"/>
      <c r="Q14" s="82">
        <f t="shared" si="9"/>
        <v>0</v>
      </c>
      <c r="R14" s="82">
        <f t="shared" si="10"/>
        <v>139.5834680622222</v>
      </c>
      <c r="S14" s="82">
        <f t="shared" si="11"/>
        <v>0.5815894572631181</v>
      </c>
      <c r="T14" s="82">
        <f t="shared" si="1"/>
        <v>52.569427404903834</v>
      </c>
      <c r="U14" s="82">
        <f t="shared" si="12"/>
        <v>0.009945567346873699</v>
      </c>
      <c r="V14" s="72"/>
      <c r="W14" s="72"/>
      <c r="X14" s="69"/>
      <c r="Y14" s="71"/>
      <c r="Z14" s="49"/>
      <c r="AA14" s="49"/>
      <c r="AC14" s="49"/>
    </row>
    <row r="15" spans="1:29" ht="12.75" customHeight="1">
      <c r="A15" s="72"/>
      <c r="B15" s="84">
        <f t="shared" si="13"/>
        <v>1.3</v>
      </c>
      <c r="C15" s="82">
        <f t="shared" si="2"/>
        <v>1.5380554499804324</v>
      </c>
      <c r="D15" s="75">
        <f t="shared" si="14"/>
        <v>1.538685926838121</v>
      </c>
      <c r="E15" s="75">
        <f t="shared" si="15"/>
        <v>1.5921683328090657</v>
      </c>
      <c r="F15" s="82">
        <f t="shared" si="3"/>
        <v>3.3333333333333335</v>
      </c>
      <c r="G15" s="82">
        <f t="shared" si="4"/>
        <v>1.399771933263024</v>
      </c>
      <c r="H15" s="82">
        <f t="shared" si="5"/>
        <v>17.027027027027025</v>
      </c>
      <c r="I15" s="75">
        <f t="shared" si="6"/>
        <v>9.683315858884658</v>
      </c>
      <c r="J15" s="82">
        <f t="shared" si="0"/>
        <v>281.28401472615116</v>
      </c>
      <c r="K15" s="82">
        <f t="shared" si="7"/>
        <v>16</v>
      </c>
      <c r="L15" s="82">
        <f t="shared" si="7"/>
        <v>13.334666666666665</v>
      </c>
      <c r="M15" s="82">
        <f t="shared" si="7"/>
        <v>1.8918918918918919</v>
      </c>
      <c r="N15" s="82">
        <f t="shared" si="8"/>
        <v>15.1</v>
      </c>
      <c r="O15" s="82">
        <f t="shared" si="16"/>
        <v>54.86486486486486</v>
      </c>
      <c r="P15" s="82"/>
      <c r="Q15" s="82">
        <f t="shared" si="9"/>
        <v>0</v>
      </c>
      <c r="R15" s="82">
        <f t="shared" si="10"/>
        <v>139.5834680622222</v>
      </c>
      <c r="S15" s="82">
        <f t="shared" si="11"/>
        <v>0.5602164581482681</v>
      </c>
      <c r="T15" s="82">
        <f t="shared" si="1"/>
        <v>49.14327048255166</v>
      </c>
      <c r="U15" s="82">
        <f t="shared" si="12"/>
        <v>0.009297375496698962</v>
      </c>
      <c r="V15" s="72"/>
      <c r="W15" s="72"/>
      <c r="X15" s="69"/>
      <c r="Y15" s="71"/>
      <c r="Z15" s="49"/>
      <c r="AA15" s="49"/>
      <c r="AC15" s="49"/>
    </row>
    <row r="16" spans="1:29" ht="12.75" customHeight="1">
      <c r="A16" s="72"/>
      <c r="B16" s="84">
        <f t="shared" si="13"/>
        <v>1.3</v>
      </c>
      <c r="C16" s="82">
        <f t="shared" si="2"/>
        <v>1.5329390081229877</v>
      </c>
      <c r="D16" s="75">
        <f t="shared" si="14"/>
        <v>1.538685926838121</v>
      </c>
      <c r="E16" s="75">
        <f t="shared" si="15"/>
        <v>1.5921683328090657</v>
      </c>
      <c r="F16" s="82">
        <f t="shared" si="3"/>
        <v>3.3333333333333335</v>
      </c>
      <c r="G16" s="82">
        <f t="shared" si="4"/>
        <v>1.3904745577663251</v>
      </c>
      <c r="H16" s="82">
        <f t="shared" si="5"/>
        <v>18.918918918918916</v>
      </c>
      <c r="I16" s="75">
        <f t="shared" si="6"/>
        <v>9.652079365527687</v>
      </c>
      <c r="J16" s="82">
        <f t="shared" si="0"/>
        <v>270.68112215505005</v>
      </c>
      <c r="K16" s="82">
        <f t="shared" si="7"/>
        <v>16</v>
      </c>
      <c r="L16" s="82">
        <f t="shared" si="7"/>
        <v>13.334666666666665</v>
      </c>
      <c r="M16" s="82">
        <f t="shared" si="7"/>
        <v>1.8918918918918919</v>
      </c>
      <c r="N16" s="82">
        <f t="shared" si="8"/>
        <v>17</v>
      </c>
      <c r="O16" s="82">
        <f t="shared" si="16"/>
        <v>52.97297297297297</v>
      </c>
      <c r="P16" s="82"/>
      <c r="Q16" s="82">
        <f t="shared" si="9"/>
        <v>0</v>
      </c>
      <c r="R16" s="82">
        <f t="shared" si="10"/>
        <v>139.5834680622222</v>
      </c>
      <c r="S16" s="82">
        <f t="shared" si="11"/>
        <v>0.539099314580434</v>
      </c>
      <c r="T16" s="82">
        <f t="shared" si="1"/>
        <v>45.85928766659653</v>
      </c>
      <c r="U16" s="82">
        <f t="shared" si="12"/>
        <v>0.00867608145043718</v>
      </c>
      <c r="V16" s="72"/>
      <c r="W16" s="72"/>
      <c r="X16" s="69"/>
      <c r="Y16" s="71"/>
      <c r="Z16" s="49"/>
      <c r="AA16" s="49"/>
      <c r="AC16" s="49"/>
    </row>
    <row r="17" spans="1:29" ht="12.75" customHeight="1">
      <c r="A17" s="72"/>
      <c r="B17" s="84">
        <f t="shared" si="13"/>
        <v>1.3</v>
      </c>
      <c r="C17" s="82">
        <f t="shared" si="2"/>
        <v>1.5281490192300784</v>
      </c>
      <c r="D17" s="75">
        <f t="shared" si="14"/>
        <v>1.538685926838121</v>
      </c>
      <c r="E17" s="75">
        <f t="shared" si="15"/>
        <v>1.5921683328090657</v>
      </c>
      <c r="F17" s="82">
        <f t="shared" si="3"/>
        <v>3.3333333333333335</v>
      </c>
      <c r="G17" s="82">
        <f t="shared" si="4"/>
        <v>1.381798476315888</v>
      </c>
      <c r="H17" s="82">
        <f t="shared" si="5"/>
        <v>20.810810810810807</v>
      </c>
      <c r="I17" s="75">
        <f t="shared" si="6"/>
        <v>9.622866030271192</v>
      </c>
      <c r="J17" s="82">
        <f t="shared" si="0"/>
        <v>260.1983465175539</v>
      </c>
      <c r="K17" s="82">
        <f t="shared" si="7"/>
        <v>16</v>
      </c>
      <c r="L17" s="82">
        <f t="shared" si="7"/>
        <v>13.334666666666665</v>
      </c>
      <c r="M17" s="82">
        <f t="shared" si="7"/>
        <v>1.8918918918918919</v>
      </c>
      <c r="N17" s="82">
        <f t="shared" si="8"/>
        <v>18.9</v>
      </c>
      <c r="O17" s="82">
        <f t="shared" si="16"/>
        <v>51.081081081081074</v>
      </c>
      <c r="P17" s="82"/>
      <c r="Q17" s="82">
        <f t="shared" si="9"/>
        <v>0</v>
      </c>
      <c r="R17" s="82">
        <f t="shared" si="10"/>
        <v>139.5834680622222</v>
      </c>
      <c r="S17" s="82">
        <f t="shared" si="11"/>
        <v>0.5182214006864704</v>
      </c>
      <c r="T17" s="82">
        <f t="shared" si="1"/>
        <v>42.71211921647024</v>
      </c>
      <c r="U17" s="82">
        <f t="shared" si="12"/>
        <v>0.008080671203115992</v>
      </c>
      <c r="V17" s="72"/>
      <c r="W17" s="72"/>
      <c r="X17" s="69"/>
      <c r="Y17" s="71"/>
      <c r="Z17" s="49"/>
      <c r="AA17" s="49"/>
      <c r="AC17" s="49"/>
    </row>
    <row r="18" spans="1:29" ht="12.75" customHeight="1">
      <c r="A18" s="72"/>
      <c r="B18" s="84">
        <f t="shared" si="13"/>
        <v>1.3</v>
      </c>
      <c r="C18" s="82">
        <f t="shared" si="2"/>
        <v>1.523674207513071</v>
      </c>
      <c r="D18" s="75">
        <f t="shared" si="14"/>
        <v>1.538685926838121</v>
      </c>
      <c r="E18" s="75">
        <f t="shared" si="15"/>
        <v>1.5921683328090657</v>
      </c>
      <c r="F18" s="82">
        <f t="shared" si="3"/>
        <v>3.3333333333333335</v>
      </c>
      <c r="G18" s="82">
        <f t="shared" si="4"/>
        <v>1.3737178051127719</v>
      </c>
      <c r="H18" s="82">
        <f t="shared" si="5"/>
        <v>22.702702702702698</v>
      </c>
      <c r="I18" s="75">
        <f t="shared" si="6"/>
        <v>9.595605327065618</v>
      </c>
      <c r="J18" s="82">
        <f t="shared" si="0"/>
        <v>249.82766285349447</v>
      </c>
      <c r="K18" s="82">
        <f t="shared" si="7"/>
        <v>16</v>
      </c>
      <c r="L18" s="82">
        <f t="shared" si="7"/>
        <v>13.334666666666665</v>
      </c>
      <c r="M18" s="82">
        <f t="shared" si="7"/>
        <v>1.8918918918918919</v>
      </c>
      <c r="N18" s="82">
        <f t="shared" si="8"/>
        <v>20.8</v>
      </c>
      <c r="O18" s="82">
        <f t="shared" si="16"/>
        <v>49.18918918918918</v>
      </c>
      <c r="P18" s="82"/>
      <c r="Q18" s="82">
        <f t="shared" si="9"/>
        <v>0</v>
      </c>
      <c r="R18" s="82">
        <f t="shared" si="10"/>
        <v>139.5834680622222</v>
      </c>
      <c r="S18" s="82">
        <f t="shared" si="11"/>
        <v>0.4975667336357609</v>
      </c>
      <c r="T18" s="82">
        <f t="shared" si="1"/>
        <v>39.69683726561961</v>
      </c>
      <c r="U18" s="82">
        <f t="shared" si="12"/>
        <v>0.007510212455657764</v>
      </c>
      <c r="V18" s="72"/>
      <c r="W18" s="72"/>
      <c r="X18" s="69"/>
      <c r="Y18" s="71"/>
      <c r="Z18" s="49"/>
      <c r="AA18" s="49"/>
      <c r="AC18" s="49"/>
    </row>
    <row r="19" spans="1:29" ht="12.75" customHeight="1">
      <c r="A19" s="72"/>
      <c r="B19" s="84">
        <f t="shared" si="13"/>
        <v>1.3</v>
      </c>
      <c r="C19" s="82">
        <f t="shared" si="2"/>
        <v>1.519503481927739</v>
      </c>
      <c r="D19" s="75">
        <f t="shared" si="14"/>
        <v>1.538685926838121</v>
      </c>
      <c r="E19" s="75">
        <f t="shared" si="15"/>
        <v>1.5921683328090657</v>
      </c>
      <c r="F19" s="82">
        <f t="shared" si="3"/>
        <v>3.3333333333333335</v>
      </c>
      <c r="G19" s="82">
        <f t="shared" si="4"/>
        <v>1.366207592657114</v>
      </c>
      <c r="H19" s="82">
        <f t="shared" si="5"/>
        <v>24.59459459459459</v>
      </c>
      <c r="I19" s="75">
        <f t="shared" si="6"/>
        <v>9.57022783791404</v>
      </c>
      <c r="J19" s="82">
        <f t="shared" si="0"/>
        <v>239.56135976338223</v>
      </c>
      <c r="K19" s="82">
        <f t="shared" si="7"/>
        <v>16</v>
      </c>
      <c r="L19" s="82">
        <f t="shared" si="7"/>
        <v>13.334666666666665</v>
      </c>
      <c r="M19" s="82">
        <f t="shared" si="7"/>
        <v>1.8918918918918919</v>
      </c>
      <c r="N19" s="82">
        <f t="shared" si="8"/>
        <v>22.7</v>
      </c>
      <c r="O19" s="82">
        <f t="shared" si="16"/>
        <v>47.297297297297284</v>
      </c>
      <c r="P19" s="82"/>
      <c r="Q19" s="82">
        <f t="shared" si="9"/>
        <v>0</v>
      </c>
      <c r="R19" s="82">
        <f t="shared" si="10"/>
        <v>139.5834680622222</v>
      </c>
      <c r="S19" s="82">
        <f t="shared" si="11"/>
        <v>0.4771199550976395</v>
      </c>
      <c r="T19" s="82">
        <f t="shared" si="1"/>
        <v>36.80892607275579</v>
      </c>
      <c r="U19" s="82">
        <f t="shared" si="12"/>
        <v>0.006963850878629473</v>
      </c>
      <c r="V19" s="72"/>
      <c r="W19" s="72"/>
      <c r="X19" s="69"/>
      <c r="Y19" s="71"/>
      <c r="Z19" s="49"/>
      <c r="AA19" s="49"/>
      <c r="AC19" s="49"/>
    </row>
    <row r="20" spans="1:29" ht="12.75" customHeight="1">
      <c r="A20" s="72"/>
      <c r="B20" s="84">
        <f t="shared" si="13"/>
        <v>1.3</v>
      </c>
      <c r="C20" s="82">
        <f t="shared" si="2"/>
        <v>1.5156259180964275</v>
      </c>
      <c r="D20" s="75">
        <f t="shared" si="14"/>
        <v>1.538685926838121</v>
      </c>
      <c r="E20" s="75">
        <f t="shared" si="15"/>
        <v>1.5921683328090657</v>
      </c>
      <c r="F20" s="82">
        <f t="shared" si="3"/>
        <v>3.3333333333333335</v>
      </c>
      <c r="G20" s="82">
        <f t="shared" si="4"/>
        <v>1.3592437417784846</v>
      </c>
      <c r="H20" s="82">
        <f t="shared" si="5"/>
        <v>26.48648648648648</v>
      </c>
      <c r="I20" s="75">
        <f t="shared" si="6"/>
        <v>9.54666513979862</v>
      </c>
      <c r="J20" s="82">
        <f t="shared" si="0"/>
        <v>229.3920308470268</v>
      </c>
      <c r="K20" s="82">
        <f t="shared" si="7"/>
        <v>16</v>
      </c>
      <c r="L20" s="82">
        <f t="shared" si="7"/>
        <v>13.334666666666665</v>
      </c>
      <c r="M20" s="82">
        <f t="shared" si="7"/>
        <v>1.8918918918918919</v>
      </c>
      <c r="N20" s="82">
        <f t="shared" si="8"/>
        <v>24.6</v>
      </c>
      <c r="O20" s="82">
        <f t="shared" si="16"/>
        <v>45.40540540540539</v>
      </c>
      <c r="P20" s="82"/>
      <c r="Q20" s="82">
        <f t="shared" si="9"/>
        <v>0</v>
      </c>
      <c r="R20" s="82">
        <f t="shared" si="10"/>
        <v>139.5834680622222</v>
      </c>
      <c r="S20" s="82">
        <f t="shared" si="11"/>
        <v>0.4568663141902035</v>
      </c>
      <c r="T20" s="82">
        <f t="shared" si="1"/>
        <v>34.04426395064726</v>
      </c>
      <c r="U20" s="82">
        <f t="shared" si="12"/>
        <v>0.0064408066933656985</v>
      </c>
      <c r="V20" s="72"/>
      <c r="W20" s="72"/>
      <c r="X20" s="69"/>
      <c r="Y20" s="71"/>
      <c r="Z20" s="49"/>
      <c r="AA20" s="49"/>
      <c r="AC20" s="49"/>
    </row>
    <row r="21" spans="1:29" ht="12.75" customHeight="1">
      <c r="A21" s="72"/>
      <c r="B21" s="84">
        <f t="shared" si="13"/>
        <v>1.3</v>
      </c>
      <c r="C21" s="82">
        <f t="shared" si="2"/>
        <v>1.5120307405254205</v>
      </c>
      <c r="D21" s="75">
        <f t="shared" si="14"/>
        <v>1.538685926838121</v>
      </c>
      <c r="E21" s="75">
        <f t="shared" si="15"/>
        <v>1.5921683328090657</v>
      </c>
      <c r="F21" s="82">
        <f t="shared" si="3"/>
        <v>3.3333333333333335</v>
      </c>
      <c r="G21" s="82">
        <f t="shared" si="4"/>
        <v>1.352802935085119</v>
      </c>
      <c r="H21" s="82">
        <f t="shared" si="5"/>
        <v>28.378378378378372</v>
      </c>
      <c r="I21" s="75">
        <f t="shared" si="6"/>
        <v>9.52484969330943</v>
      </c>
      <c r="J21" s="82">
        <f t="shared" si="0"/>
        <v>219.31256686900235</v>
      </c>
      <c r="K21" s="82">
        <f t="shared" si="7"/>
        <v>16</v>
      </c>
      <c r="L21" s="82">
        <f t="shared" si="7"/>
        <v>13.334666666666665</v>
      </c>
      <c r="M21" s="82">
        <f t="shared" si="7"/>
        <v>1.8918918918918919</v>
      </c>
      <c r="N21" s="82">
        <f t="shared" si="8"/>
        <v>26.5</v>
      </c>
      <c r="O21" s="82">
        <f t="shared" si="16"/>
        <v>43.513513513513495</v>
      </c>
      <c r="P21" s="82"/>
      <c r="Q21" s="82">
        <f t="shared" si="9"/>
        <v>0</v>
      </c>
      <c r="R21" s="82">
        <f t="shared" si="10"/>
        <v>139.5834680622222</v>
      </c>
      <c r="S21" s="82">
        <f t="shared" si="11"/>
        <v>0.4367916518767431</v>
      </c>
      <c r="T21" s="82">
        <f t="shared" si="1"/>
        <v>31.39910680127054</v>
      </c>
      <c r="U21" s="82">
        <f t="shared" si="12"/>
        <v>0.005940371556997129</v>
      </c>
      <c r="V21" s="72"/>
      <c r="W21" s="72"/>
      <c r="X21" s="69"/>
      <c r="Y21" s="71"/>
      <c r="Z21" s="49"/>
      <c r="AA21" s="49"/>
      <c r="AC21" s="49"/>
    </row>
    <row r="22" spans="1:29" ht="12.75" customHeight="1">
      <c r="A22" s="72"/>
      <c r="B22" s="84">
        <f t="shared" si="13"/>
        <v>1.3</v>
      </c>
      <c r="C22" s="82">
        <f t="shared" si="2"/>
        <v>1.5087073050669986</v>
      </c>
      <c r="D22" s="75">
        <f t="shared" si="14"/>
        <v>1.538685926838121</v>
      </c>
      <c r="E22" s="75">
        <f t="shared" si="15"/>
        <v>1.5921683328090657</v>
      </c>
      <c r="F22" s="82">
        <f t="shared" si="3"/>
        <v>3.3333333333333335</v>
      </c>
      <c r="G22" s="82">
        <f t="shared" si="4"/>
        <v>1.3468625635281217</v>
      </c>
      <c r="H22" s="82">
        <f t="shared" si="5"/>
        <v>30.270270270270263</v>
      </c>
      <c r="I22" s="75">
        <f t="shared" si="6"/>
        <v>9.50471473264357</v>
      </c>
      <c r="J22" s="82">
        <f t="shared" si="0"/>
        <v>209.31614863091684</v>
      </c>
      <c r="K22" s="82">
        <f t="shared" si="7"/>
        <v>16</v>
      </c>
      <c r="L22" s="82">
        <f t="shared" si="7"/>
        <v>13.334666666666665</v>
      </c>
      <c r="M22" s="82">
        <f t="shared" si="7"/>
        <v>1.8918918918918919</v>
      </c>
      <c r="N22" s="82">
        <f t="shared" si="8"/>
        <v>28.4</v>
      </c>
      <c r="O22" s="82">
        <f t="shared" si="16"/>
        <v>41.6216216216216</v>
      </c>
      <c r="P22" s="82"/>
      <c r="Q22" s="82">
        <f t="shared" si="9"/>
        <v>0</v>
      </c>
      <c r="R22" s="82">
        <f t="shared" si="10"/>
        <v>139.5834680622222</v>
      </c>
      <c r="S22" s="82">
        <f t="shared" si="11"/>
        <v>0.4168823867698684</v>
      </c>
      <c r="T22" s="82">
        <f t="shared" si="1"/>
        <v>28.870073202786624</v>
      </c>
      <c r="U22" s="82">
        <f t="shared" si="12"/>
        <v>0.00546190574106774</v>
      </c>
      <c r="V22" s="72"/>
      <c r="W22" s="72"/>
      <c r="X22" s="69"/>
      <c r="Y22" s="71"/>
      <c r="Z22" s="49"/>
      <c r="AA22" s="49"/>
      <c r="AC22" s="49"/>
    </row>
    <row r="23" spans="1:29" ht="12.75" customHeight="1">
      <c r="A23" s="72"/>
      <c r="B23" s="84">
        <f t="shared" si="13"/>
        <v>1.3</v>
      </c>
      <c r="C23" s="82">
        <f t="shared" si="2"/>
        <v>1.5056450815713913</v>
      </c>
      <c r="D23" s="75">
        <f t="shared" si="14"/>
        <v>1.538685926838121</v>
      </c>
      <c r="E23" s="75">
        <f t="shared" si="15"/>
        <v>1.5921683328090657</v>
      </c>
      <c r="F23" s="82">
        <f t="shared" si="3"/>
        <v>3.3333333333333335</v>
      </c>
      <c r="G23" s="82">
        <f t="shared" si="4"/>
        <v>1.341400657787054</v>
      </c>
      <c r="H23" s="82">
        <f t="shared" si="5"/>
        <v>32.162162162162154</v>
      </c>
      <c r="I23" s="75">
        <f t="shared" si="6"/>
        <v>9.4861941566112</v>
      </c>
      <c r="J23" s="82">
        <f t="shared" si="0"/>
        <v>199.39624053242738</v>
      </c>
      <c r="K23" s="82">
        <f t="shared" si="7"/>
        <v>16</v>
      </c>
      <c r="L23" s="82">
        <f t="shared" si="7"/>
        <v>13.334666666666665</v>
      </c>
      <c r="M23" s="82">
        <f t="shared" si="7"/>
        <v>1.8918918918918919</v>
      </c>
      <c r="N23" s="82">
        <f t="shared" si="8"/>
        <v>30.3</v>
      </c>
      <c r="O23" s="82">
        <f t="shared" si="16"/>
        <v>39.729729729729705</v>
      </c>
      <c r="P23" s="82"/>
      <c r="Q23" s="82">
        <f t="shared" si="9"/>
        <v>0</v>
      </c>
      <c r="R23" s="82">
        <f t="shared" si="10"/>
        <v>139.5834680622222</v>
      </c>
      <c r="S23" s="82">
        <f t="shared" si="11"/>
        <v>0.3971255023073706</v>
      </c>
      <c r="T23" s="82">
        <f t="shared" si="1"/>
        <v>26.454131012541165</v>
      </c>
      <c r="U23" s="82">
        <f t="shared" si="12"/>
        <v>0.005004835596967247</v>
      </c>
      <c r="V23" s="72"/>
      <c r="W23" s="72"/>
      <c r="X23" s="69"/>
      <c r="Y23" s="71"/>
      <c r="Z23" s="49"/>
      <c r="AA23" s="49"/>
      <c r="AC23" s="49"/>
    </row>
    <row r="24" spans="1:29" ht="12.75" customHeight="1">
      <c r="A24" s="72"/>
      <c r="B24" s="84">
        <f t="shared" si="13"/>
        <v>1.3</v>
      </c>
      <c r="C24" s="82">
        <f t="shared" si="2"/>
        <v>1.50283363666816</v>
      </c>
      <c r="D24" s="75">
        <f t="shared" si="14"/>
        <v>1.538685926838121</v>
      </c>
      <c r="E24" s="75">
        <f t="shared" si="15"/>
        <v>1.5921683328090657</v>
      </c>
      <c r="F24" s="82">
        <f t="shared" si="3"/>
        <v>3.3333333333333335</v>
      </c>
      <c r="G24" s="82">
        <f t="shared" si="4"/>
        <v>1.336395822190087</v>
      </c>
      <c r="H24" s="82">
        <f t="shared" si="5"/>
        <v>34.05405405405405</v>
      </c>
      <c r="I24" s="75">
        <f t="shared" si="6"/>
        <v>9.469222420243751</v>
      </c>
      <c r="J24" s="82">
        <f t="shared" si="0"/>
        <v>189.54658480499302</v>
      </c>
      <c r="K24" s="82">
        <f t="shared" si="7"/>
        <v>16</v>
      </c>
      <c r="L24" s="82">
        <f t="shared" si="7"/>
        <v>13.334666666666665</v>
      </c>
      <c r="M24" s="82">
        <f t="shared" si="7"/>
        <v>1.8918918918918919</v>
      </c>
      <c r="N24" s="82">
        <f t="shared" si="8"/>
        <v>32.2</v>
      </c>
      <c r="O24" s="82">
        <f t="shared" si="16"/>
        <v>37.83783783783781</v>
      </c>
      <c r="P24" s="82"/>
      <c r="Q24" s="82">
        <f t="shared" si="9"/>
        <v>0</v>
      </c>
      <c r="R24" s="82">
        <f t="shared" si="10"/>
        <v>139.5834680622222</v>
      </c>
      <c r="S24" s="82">
        <f t="shared" si="11"/>
        <v>0.37750853526793476</v>
      </c>
      <c r="T24" s="82">
        <f t="shared" si="1"/>
        <v>24.14858547204715</v>
      </c>
      <c r="U24" s="82">
        <f t="shared" si="12"/>
        <v>0.004568651305522434</v>
      </c>
      <c r="V24" s="72"/>
      <c r="W24" s="72"/>
      <c r="X24" s="69"/>
      <c r="Y24" s="71"/>
      <c r="Z24" s="49"/>
      <c r="AA24" s="49"/>
      <c r="AC24" s="49"/>
    </row>
    <row r="25" spans="1:29" ht="12.75" customHeight="1">
      <c r="A25" s="72"/>
      <c r="B25" s="84">
        <f t="shared" si="13"/>
        <v>1.3</v>
      </c>
      <c r="C25" s="82">
        <f t="shared" si="2"/>
        <v>1.5002626166091435</v>
      </c>
      <c r="D25" s="75">
        <f t="shared" si="14"/>
        <v>1.538685926838121</v>
      </c>
      <c r="E25" s="75">
        <f t="shared" si="15"/>
        <v>1.5921683328090657</v>
      </c>
      <c r="F25" s="82">
        <f t="shared" si="3"/>
        <v>3.3333333333333335</v>
      </c>
      <c r="G25" s="82">
        <f t="shared" si="4"/>
        <v>1.3318271708845644</v>
      </c>
      <c r="H25" s="82">
        <f t="shared" si="5"/>
        <v>35.945945945945944</v>
      </c>
      <c r="I25" s="75">
        <f t="shared" si="6"/>
        <v>9.453734426545747</v>
      </c>
      <c r="J25" s="82">
        <f t="shared" si="0"/>
        <v>179.76119640451884</v>
      </c>
      <c r="K25" s="82">
        <f t="shared" si="7"/>
        <v>16</v>
      </c>
      <c r="L25" s="82">
        <f t="shared" si="7"/>
        <v>13.334666666666665</v>
      </c>
      <c r="M25" s="82">
        <f t="shared" si="7"/>
        <v>1.8918918918918919</v>
      </c>
      <c r="N25" s="82">
        <f t="shared" si="8"/>
        <v>34.1</v>
      </c>
      <c r="O25" s="82">
        <f t="shared" si="16"/>
        <v>35.945945945945915</v>
      </c>
      <c r="P25" s="82"/>
      <c r="Q25" s="82">
        <f t="shared" si="9"/>
        <v>0</v>
      </c>
      <c r="R25" s="82">
        <f t="shared" si="10"/>
        <v>139.5834680622222</v>
      </c>
      <c r="S25" s="82">
        <f t="shared" si="11"/>
        <v>0.35801956559912573</v>
      </c>
      <c r="T25" s="82">
        <f t="shared" si="1"/>
        <v>21.95106882602891</v>
      </c>
      <c r="U25" s="82">
        <f t="shared" si="12"/>
        <v>0.004152904913032497</v>
      </c>
      <c r="V25" s="72"/>
      <c r="W25" s="72"/>
      <c r="X25" s="69"/>
      <c r="Y25" s="71"/>
      <c r="Z25" s="49"/>
      <c r="AA25" s="49"/>
      <c r="AC25" s="49"/>
    </row>
    <row r="26" spans="1:29" ht="12.75" customHeight="1">
      <c r="A26" s="72"/>
      <c r="B26" s="84">
        <f t="shared" si="13"/>
        <v>1.3</v>
      </c>
      <c r="C26" s="82">
        <f t="shared" si="2"/>
        <v>1.4979217300953642</v>
      </c>
      <c r="D26" s="75">
        <f t="shared" si="14"/>
        <v>1.538685926838121</v>
      </c>
      <c r="E26" s="75">
        <f t="shared" si="15"/>
        <v>1.5921683328090657</v>
      </c>
      <c r="F26" s="82">
        <f t="shared" si="3"/>
        <v>3.3333333333333335</v>
      </c>
      <c r="G26" s="82">
        <f t="shared" si="4"/>
        <v>1.327674265971532</v>
      </c>
      <c r="H26" s="82">
        <f t="shared" si="5"/>
        <v>37.83783783783784</v>
      </c>
      <c r="I26" s="75">
        <f t="shared" si="6"/>
        <v>9.43966541786059</v>
      </c>
      <c r="J26" s="82">
        <f t="shared" si="0"/>
        <v>170.0343585513655</v>
      </c>
      <c r="K26" s="82">
        <f t="shared" si="7"/>
        <v>16</v>
      </c>
      <c r="L26" s="82">
        <f t="shared" si="7"/>
        <v>13.334666666666665</v>
      </c>
      <c r="M26" s="82">
        <f t="shared" si="7"/>
        <v>1.8918918918918919</v>
      </c>
      <c r="N26" s="82">
        <f t="shared" si="8"/>
        <v>35.9</v>
      </c>
      <c r="O26" s="82">
        <f t="shared" si="16"/>
        <v>34.05405405405402</v>
      </c>
      <c r="P26" s="82"/>
      <c r="Q26" s="82">
        <f t="shared" si="9"/>
        <v>0</v>
      </c>
      <c r="R26" s="82">
        <f t="shared" si="10"/>
        <v>139.5834680622222</v>
      </c>
      <c r="S26" s="82">
        <f t="shared" si="11"/>
        <v>0.3386472075346934</v>
      </c>
      <c r="T26" s="82">
        <f t="shared" si="1"/>
        <v>19.859531499950606</v>
      </c>
      <c r="U26" s="82">
        <f t="shared" si="12"/>
        <v>0.0037572086621528175</v>
      </c>
      <c r="V26" s="72"/>
      <c r="W26" s="72"/>
      <c r="X26" s="69"/>
      <c r="Y26" s="71"/>
      <c r="Z26" s="49"/>
      <c r="AA26" s="49"/>
      <c r="AC26" s="49"/>
    </row>
    <row r="27" spans="1:29" ht="12.75" customHeight="1">
      <c r="A27" s="72"/>
      <c r="B27" s="84">
        <f t="shared" si="13"/>
        <v>1.3</v>
      </c>
      <c r="C27" s="82">
        <f t="shared" si="2"/>
        <v>1.4958007309975654</v>
      </c>
      <c r="D27" s="75">
        <f t="shared" si="14"/>
        <v>1.538685926838121</v>
      </c>
      <c r="E27" s="75">
        <f t="shared" si="15"/>
        <v>1.5921683328090657</v>
      </c>
      <c r="F27" s="82">
        <f t="shared" si="3"/>
        <v>3.3333333333333335</v>
      </c>
      <c r="G27" s="82">
        <f t="shared" si="4"/>
        <v>1.323917057309379</v>
      </c>
      <c r="H27" s="82">
        <f t="shared" si="5"/>
        <v>39.72972972972973</v>
      </c>
      <c r="I27" s="75">
        <f t="shared" si="6"/>
        <v>9.426950866227907</v>
      </c>
      <c r="J27" s="82">
        <f t="shared" si="0"/>
        <v>160.36061890874782</v>
      </c>
      <c r="K27" s="82">
        <f t="shared" si="7"/>
        <v>16</v>
      </c>
      <c r="L27" s="82">
        <f t="shared" si="7"/>
        <v>13.334666666666665</v>
      </c>
      <c r="M27" s="82">
        <f t="shared" si="7"/>
        <v>1.8918918918918919</v>
      </c>
      <c r="N27" s="82">
        <f t="shared" si="8"/>
        <v>37.8</v>
      </c>
      <c r="O27" s="82">
        <f t="shared" si="16"/>
        <v>32.162162162162126</v>
      </c>
      <c r="P27" s="82"/>
      <c r="Q27" s="82">
        <f t="shared" si="9"/>
        <v>0</v>
      </c>
      <c r="R27" s="82">
        <f t="shared" si="10"/>
        <v>139.5834680622222</v>
      </c>
      <c r="S27" s="82">
        <f t="shared" si="11"/>
        <v>0.3193806019833189</v>
      </c>
      <c r="T27" s="82">
        <f t="shared" si="1"/>
        <v>17.87223492170951</v>
      </c>
      <c r="U27" s="82">
        <f t="shared" si="12"/>
        <v>0.003381233633836934</v>
      </c>
      <c r="V27" s="72"/>
      <c r="W27" s="72"/>
      <c r="X27" s="69"/>
      <c r="Y27" s="71"/>
      <c r="Z27" s="49"/>
      <c r="AA27" s="49"/>
      <c r="AC27" s="49"/>
    </row>
    <row r="28" spans="1:29" ht="12.75" customHeight="1">
      <c r="A28" s="72"/>
      <c r="B28" s="84">
        <f t="shared" si="13"/>
        <v>1.3</v>
      </c>
      <c r="C28" s="82">
        <f t="shared" si="2"/>
        <v>1.4938894008632855</v>
      </c>
      <c r="D28" s="75">
        <f t="shared" si="14"/>
        <v>1.538685926838121</v>
      </c>
      <c r="E28" s="75">
        <f t="shared" si="15"/>
        <v>1.5921683328090657</v>
      </c>
      <c r="F28" s="82">
        <f t="shared" si="3"/>
        <v>3.3333333333333335</v>
      </c>
      <c r="G28" s="82">
        <f t="shared" si="4"/>
        <v>1.320535823675542</v>
      </c>
      <c r="H28" s="82">
        <f t="shared" si="5"/>
        <v>41.62162162162163</v>
      </c>
      <c r="I28" s="75">
        <f t="shared" si="6"/>
        <v>9.415526361986922</v>
      </c>
      <c r="J28" s="82">
        <f t="shared" si="0"/>
        <v>150.7347863934124</v>
      </c>
      <c r="K28" s="82">
        <f t="shared" si="7"/>
        <v>16</v>
      </c>
      <c r="L28" s="82">
        <f t="shared" si="7"/>
        <v>13.334666666666665</v>
      </c>
      <c r="M28" s="82">
        <f t="shared" si="7"/>
        <v>1.8918918918918919</v>
      </c>
      <c r="N28" s="82">
        <f t="shared" si="8"/>
        <v>39.7</v>
      </c>
      <c r="O28" s="82">
        <f t="shared" si="16"/>
        <v>30.270270270270235</v>
      </c>
      <c r="P28" s="82"/>
      <c r="Q28" s="82">
        <f t="shared" si="9"/>
        <v>0</v>
      </c>
      <c r="R28" s="82">
        <f t="shared" si="10"/>
        <v>139.5834680622222</v>
      </c>
      <c r="S28" s="82">
        <f t="shared" si="11"/>
        <v>0.30020941017663316</v>
      </c>
      <c r="T28" s="82">
        <f t="shared" si="1"/>
        <v>15.987746127287114</v>
      </c>
      <c r="U28" s="82">
        <f t="shared" si="12"/>
        <v>0.003024708726784049</v>
      </c>
      <c r="V28" s="72"/>
      <c r="W28" s="72"/>
      <c r="X28" s="69"/>
      <c r="Y28" s="71"/>
      <c r="Z28" s="49"/>
      <c r="AA28" s="49"/>
      <c r="AC28" s="49"/>
    </row>
    <row r="29" spans="1:29" ht="12.75" customHeight="1">
      <c r="A29" s="72"/>
      <c r="B29" s="84">
        <f t="shared" si="13"/>
        <v>1.3</v>
      </c>
      <c r="C29" s="82">
        <f t="shared" si="2"/>
        <v>1.4921775310811383</v>
      </c>
      <c r="D29" s="75">
        <f t="shared" si="14"/>
        <v>1.538685926838121</v>
      </c>
      <c r="E29" s="75">
        <f t="shared" si="15"/>
        <v>1.5921683328090657</v>
      </c>
      <c r="F29" s="82">
        <f t="shared" si="3"/>
        <v>3.3333333333333335</v>
      </c>
      <c r="G29" s="82">
        <f t="shared" si="4"/>
        <v>1.317511114948758</v>
      </c>
      <c r="H29" s="82">
        <f t="shared" si="5"/>
        <v>43.51351351351352</v>
      </c>
      <c r="I29" s="75">
        <f t="shared" si="6"/>
        <v>9.405327499716366</v>
      </c>
      <c r="J29" s="82">
        <f t="shared" si="0"/>
        <v>141.1519286157832</v>
      </c>
      <c r="K29" s="82">
        <f t="shared" si="7"/>
        <v>16</v>
      </c>
      <c r="L29" s="82">
        <f t="shared" si="7"/>
        <v>13.334666666666665</v>
      </c>
      <c r="M29" s="82">
        <f t="shared" si="7"/>
        <v>1.8918918918918919</v>
      </c>
      <c r="N29" s="82">
        <f t="shared" si="8"/>
        <v>41.6</v>
      </c>
      <c r="O29" s="82">
        <f t="shared" si="16"/>
        <v>28.378378378378343</v>
      </c>
      <c r="P29" s="82"/>
      <c r="Q29" s="82">
        <f t="shared" si="9"/>
        <v>0</v>
      </c>
      <c r="R29" s="82">
        <f t="shared" si="10"/>
        <v>139.5834680622222</v>
      </c>
      <c r="S29" s="82">
        <f t="shared" si="11"/>
        <v>0.2811238085709088</v>
      </c>
      <c r="T29" s="82">
        <f t="shared" si="1"/>
        <v>14.204934363031905</v>
      </c>
      <c r="U29" s="82">
        <f t="shared" si="12"/>
        <v>0.002687420014627658</v>
      </c>
      <c r="V29" s="72"/>
      <c r="W29" s="72"/>
      <c r="X29" s="69"/>
      <c r="Y29" s="71"/>
      <c r="Z29" s="49"/>
      <c r="AA29" s="49"/>
      <c r="AC29" s="49"/>
    </row>
    <row r="30" spans="1:29" ht="12.75" customHeight="1">
      <c r="A30" s="72"/>
      <c r="B30" s="84">
        <f t="shared" si="13"/>
        <v>1.3</v>
      </c>
      <c r="C30" s="82">
        <f t="shared" si="2"/>
        <v>1.4906549045431947</v>
      </c>
      <c r="D30" s="75">
        <f t="shared" si="14"/>
        <v>1.538685926838121</v>
      </c>
      <c r="E30" s="75">
        <f t="shared" si="15"/>
        <v>1.5921683328090657</v>
      </c>
      <c r="F30" s="82">
        <f t="shared" si="3"/>
        <v>3.3333333333333335</v>
      </c>
      <c r="G30" s="82">
        <f t="shared" si="4"/>
        <v>1.3148236949341303</v>
      </c>
      <c r="H30" s="82">
        <f t="shared" si="5"/>
        <v>45.40540540540542</v>
      </c>
      <c r="I30" s="75">
        <f t="shared" si="6"/>
        <v>9.396289760380368</v>
      </c>
      <c r="J30" s="82">
        <f t="shared" si="0"/>
        <v>131.60736995066028</v>
      </c>
      <c r="K30" s="82">
        <f t="shared" si="7"/>
        <v>16</v>
      </c>
      <c r="L30" s="82">
        <f t="shared" si="7"/>
        <v>13.334666666666665</v>
      </c>
      <c r="M30" s="82">
        <f t="shared" si="7"/>
        <v>1.8918918918918919</v>
      </c>
      <c r="N30" s="82">
        <f t="shared" si="8"/>
        <v>43.5</v>
      </c>
      <c r="O30" s="82">
        <f t="shared" si="16"/>
        <v>26.486486486486452</v>
      </c>
      <c r="P30" s="82"/>
      <c r="Q30" s="82">
        <f t="shared" si="9"/>
        <v>0</v>
      </c>
      <c r="R30" s="82">
        <f t="shared" si="10"/>
        <v>139.5834680622222</v>
      </c>
      <c r="S30" s="82">
        <f t="shared" si="11"/>
        <v>0.26211448500458673</v>
      </c>
      <c r="T30" s="82">
        <f t="shared" si="1"/>
        <v>12.522969997971144</v>
      </c>
      <c r="U30" s="82">
        <f t="shared" si="12"/>
        <v>0.002369210540156703</v>
      </c>
      <c r="V30" s="72"/>
      <c r="W30" s="72"/>
      <c r="X30" s="69"/>
      <c r="Y30" s="71"/>
      <c r="Z30" s="49"/>
      <c r="AA30" s="49"/>
      <c r="AC30" s="49"/>
    </row>
    <row r="31" spans="1:29" ht="12.75" customHeight="1">
      <c r="A31" s="72"/>
      <c r="B31" s="84">
        <f t="shared" si="13"/>
        <v>1.3</v>
      </c>
      <c r="C31" s="82">
        <f t="shared" si="2"/>
        <v>1.4893112766060075</v>
      </c>
      <c r="D31" s="75">
        <f t="shared" si="14"/>
        <v>1.538685926838121</v>
      </c>
      <c r="E31" s="75">
        <f t="shared" si="15"/>
        <v>1.5921683328090657</v>
      </c>
      <c r="F31" s="82">
        <f t="shared" si="3"/>
        <v>3.3333333333333335</v>
      </c>
      <c r="G31" s="82">
        <f t="shared" si="4"/>
        <v>1.3124544843939736</v>
      </c>
      <c r="H31" s="82">
        <f t="shared" si="5"/>
        <v>47.29729729729731</v>
      </c>
      <c r="I31" s="75">
        <f t="shared" si="6"/>
        <v>9.388348388247278</v>
      </c>
      <c r="J31" s="82">
        <f t="shared" si="0"/>
        <v>122.09669024427613</v>
      </c>
      <c r="K31" s="82">
        <f t="shared" si="7"/>
        <v>16</v>
      </c>
      <c r="L31" s="82">
        <f t="shared" si="7"/>
        <v>13.334666666666665</v>
      </c>
      <c r="M31" s="82">
        <f t="shared" si="7"/>
        <v>1.8918918918918919</v>
      </c>
      <c r="N31" s="82">
        <f t="shared" si="8"/>
        <v>45.4</v>
      </c>
      <c r="O31" s="82">
        <f t="shared" si="16"/>
        <v>24.59459459459456</v>
      </c>
      <c r="P31" s="82"/>
      <c r="Q31" s="82">
        <f t="shared" si="9"/>
        <v>0</v>
      </c>
      <c r="R31" s="82">
        <f t="shared" si="10"/>
        <v>139.5834680622222</v>
      </c>
      <c r="S31" s="82">
        <f t="shared" si="11"/>
        <v>0.2431726361231978</v>
      </c>
      <c r="T31" s="82">
        <f t="shared" si="1"/>
        <v>10.941326202389838</v>
      </c>
      <c r="U31" s="82">
        <f t="shared" si="12"/>
        <v>0.002069980632884564</v>
      </c>
      <c r="V31" s="72"/>
      <c r="W31" s="72"/>
      <c r="X31" s="69"/>
      <c r="Y31" s="71"/>
      <c r="Z31" s="49"/>
      <c r="AA31" s="49"/>
      <c r="AC31" s="49"/>
    </row>
    <row r="32" spans="1:29" ht="12.75" customHeight="1">
      <c r="A32" s="72"/>
      <c r="B32" s="84">
        <f t="shared" si="13"/>
        <v>1.3</v>
      </c>
      <c r="C32" s="82">
        <f t="shared" si="2"/>
        <v>1.4881363550952718</v>
      </c>
      <c r="D32" s="75">
        <f t="shared" si="14"/>
        <v>1.538685926838121</v>
      </c>
      <c r="E32" s="75">
        <f t="shared" si="15"/>
        <v>1.5921683328090657</v>
      </c>
      <c r="F32" s="82">
        <f t="shared" si="3"/>
        <v>3.3333333333333335</v>
      </c>
      <c r="G32" s="82">
        <f t="shared" si="4"/>
        <v>1.310384503761089</v>
      </c>
      <c r="H32" s="82">
        <f t="shared" si="5"/>
        <v>49.18918918918921</v>
      </c>
      <c r="I32" s="75">
        <f t="shared" si="6"/>
        <v>9.381438260727979</v>
      </c>
      <c r="J32" s="82">
        <f t="shared" si="0"/>
        <v>112.61572416937177</v>
      </c>
      <c r="K32" s="82">
        <f t="shared" si="7"/>
        <v>16</v>
      </c>
      <c r="L32" s="82">
        <f t="shared" si="7"/>
        <v>13.334666666666665</v>
      </c>
      <c r="M32" s="82">
        <f t="shared" si="7"/>
        <v>1.8918918918918919</v>
      </c>
      <c r="N32" s="82">
        <f t="shared" si="8"/>
        <v>47.3</v>
      </c>
      <c r="O32" s="82">
        <f t="shared" si="16"/>
        <v>22.70270270270267</v>
      </c>
      <c r="P32" s="82"/>
      <c r="Q32" s="82">
        <f t="shared" si="9"/>
        <v>0</v>
      </c>
      <c r="R32" s="82">
        <f t="shared" si="10"/>
        <v>139.5834680622222</v>
      </c>
      <c r="S32" s="82">
        <f t="shared" si="11"/>
        <v>0.22428996609490698</v>
      </c>
      <c r="T32" s="82">
        <f t="shared" si="1"/>
        <v>9.459784056962324</v>
      </c>
      <c r="U32" s="82">
        <f t="shared" si="12"/>
        <v>0.0017896888756415209</v>
      </c>
      <c r="V32" s="72"/>
      <c r="W32" s="72"/>
      <c r="X32" s="69"/>
      <c r="Y32" s="71"/>
      <c r="Z32" s="49"/>
      <c r="AA32" s="49"/>
      <c r="AC32" s="49"/>
    </row>
    <row r="33" spans="1:29" ht="12.75" customHeight="1">
      <c r="A33" s="72"/>
      <c r="B33" s="84">
        <f t="shared" si="13"/>
        <v>1.3</v>
      </c>
      <c r="C33" s="82">
        <f t="shared" si="2"/>
        <v>1.4871197790213158</v>
      </c>
      <c r="D33" s="75">
        <f t="shared" si="14"/>
        <v>1.538685926838121</v>
      </c>
      <c r="E33" s="75">
        <f t="shared" si="15"/>
        <v>1.5921683328090657</v>
      </c>
      <c r="F33" s="82">
        <f t="shared" si="3"/>
        <v>3.3333333333333335</v>
      </c>
      <c r="G33" s="82">
        <f t="shared" si="4"/>
        <v>1.3085948148854476</v>
      </c>
      <c r="H33" s="82">
        <f t="shared" si="5"/>
        <v>51.0810810810811</v>
      </c>
      <c r="I33" s="75">
        <f t="shared" si="6"/>
        <v>9.375493748683969</v>
      </c>
      <c r="J33" s="82">
        <f t="shared" si="0"/>
        <v>103.16056124742445</v>
      </c>
      <c r="K33" s="82">
        <f t="shared" si="7"/>
        <v>16</v>
      </c>
      <c r="L33" s="82">
        <f t="shared" si="7"/>
        <v>13.334666666666665</v>
      </c>
      <c r="M33" s="82">
        <f t="shared" si="7"/>
        <v>1.8918918918918919</v>
      </c>
      <c r="N33" s="82">
        <f t="shared" si="8"/>
        <v>49.2</v>
      </c>
      <c r="O33" s="82">
        <f t="shared" si="16"/>
        <v>20.81081081081078</v>
      </c>
      <c r="P33" s="82"/>
      <c r="Q33" s="82">
        <f t="shared" si="9"/>
        <v>0</v>
      </c>
      <c r="R33" s="82">
        <f t="shared" si="10"/>
        <v>139.5834680622222</v>
      </c>
      <c r="S33" s="82">
        <f t="shared" si="11"/>
        <v>0.2054586866547828</v>
      </c>
      <c r="T33" s="82">
        <f t="shared" si="1"/>
        <v>8.078442068510961</v>
      </c>
      <c r="U33" s="82">
        <f t="shared" si="12"/>
        <v>0.001528353904853425</v>
      </c>
      <c r="V33" s="72"/>
      <c r="W33" s="72"/>
      <c r="X33" s="69"/>
      <c r="Y33" s="71"/>
      <c r="Z33" s="49"/>
      <c r="AA33" s="49"/>
      <c r="AC33" s="49"/>
    </row>
    <row r="34" spans="1:29" ht="12.75" customHeight="1">
      <c r="A34" s="72"/>
      <c r="B34" s="84">
        <f t="shared" si="13"/>
        <v>1.3</v>
      </c>
      <c r="C34" s="82">
        <f t="shared" si="2"/>
        <v>1.4862510955613135</v>
      </c>
      <c r="D34" s="75">
        <f t="shared" si="14"/>
        <v>1.538685926838121</v>
      </c>
      <c r="E34" s="75">
        <f t="shared" si="15"/>
        <v>1.5921683328090657</v>
      </c>
      <c r="F34" s="82">
        <f t="shared" si="3"/>
        <v>3.3333333333333335</v>
      </c>
      <c r="G34" s="82">
        <f t="shared" si="4"/>
        <v>1.3070664609805942</v>
      </c>
      <c r="H34" s="82">
        <f t="shared" si="5"/>
        <v>52.972972972973</v>
      </c>
      <c r="I34" s="75">
        <f t="shared" si="6"/>
        <v>9.370448563889775</v>
      </c>
      <c r="J34" s="82">
        <f t="shared" si="0"/>
        <v>93.72754656692953</v>
      </c>
      <c r="K34" s="82">
        <f t="shared" si="7"/>
        <v>16</v>
      </c>
      <c r="L34" s="82">
        <f t="shared" si="7"/>
        <v>13.334666666666665</v>
      </c>
      <c r="M34" s="82">
        <f t="shared" si="7"/>
        <v>1.8918918918918919</v>
      </c>
      <c r="N34" s="82">
        <f t="shared" si="8"/>
        <v>51.1</v>
      </c>
      <c r="O34" s="82">
        <f t="shared" si="16"/>
        <v>18.918918918918887</v>
      </c>
      <c r="P34" s="82"/>
      <c r="Q34" s="82">
        <f t="shared" si="9"/>
        <v>0</v>
      </c>
      <c r="R34" s="82">
        <f t="shared" si="10"/>
        <v>139.5834680622222</v>
      </c>
      <c r="S34" s="82">
        <f t="shared" si="11"/>
        <v>0.18667151853535616</v>
      </c>
      <c r="T34" s="82">
        <f t="shared" si="1"/>
        <v>6.797731550616352</v>
      </c>
      <c r="U34" s="82">
        <f t="shared" si="12"/>
        <v>0.0012860573203868774</v>
      </c>
      <c r="V34" s="72"/>
      <c r="W34" s="72"/>
      <c r="X34" s="69"/>
      <c r="Y34" s="71"/>
      <c r="Z34" s="49"/>
      <c r="AA34" s="49"/>
      <c r="AC34" s="49"/>
    </row>
    <row r="35" spans="1:29" ht="12.75" customHeight="1">
      <c r="A35" s="72"/>
      <c r="B35" s="84">
        <f t="shared" si="13"/>
        <v>1.3</v>
      </c>
      <c r="C35" s="82">
        <f t="shared" si="2"/>
        <v>1.4855197347008724</v>
      </c>
      <c r="D35" s="75">
        <f t="shared" si="14"/>
        <v>1.538685926838121</v>
      </c>
      <c r="E35" s="75">
        <f t="shared" si="15"/>
        <v>1.5921683328090657</v>
      </c>
      <c r="F35" s="82">
        <f t="shared" si="3"/>
        <v>3.3333333333333335</v>
      </c>
      <c r="G35" s="82">
        <f t="shared" si="4"/>
        <v>1.3057804036602074</v>
      </c>
      <c r="H35" s="82">
        <f t="shared" si="5"/>
        <v>54.86486486486489</v>
      </c>
      <c r="I35" s="75">
        <f t="shared" si="6"/>
        <v>9.366235589042244</v>
      </c>
      <c r="J35" s="82">
        <f t="shared" si="0"/>
        <v>84.3132822397791</v>
      </c>
      <c r="K35" s="82">
        <f t="shared" si="7"/>
        <v>16</v>
      </c>
      <c r="L35" s="82">
        <f t="shared" si="7"/>
        <v>13.334666666666665</v>
      </c>
      <c r="M35" s="82">
        <f t="shared" si="7"/>
        <v>1.8918918918918919</v>
      </c>
      <c r="N35" s="82">
        <f t="shared" si="8"/>
        <v>53</v>
      </c>
      <c r="O35" s="82">
        <f t="shared" si="16"/>
        <v>17.027027027026996</v>
      </c>
      <c r="P35" s="82"/>
      <c r="Q35" s="82">
        <f t="shared" si="9"/>
        <v>0</v>
      </c>
      <c r="R35" s="82">
        <f t="shared" si="10"/>
        <v>139.5834680622222</v>
      </c>
      <c r="S35" s="82">
        <f t="shared" si="11"/>
        <v>0.16792169436720208</v>
      </c>
      <c r="T35" s="82">
        <f t="shared" si="1"/>
        <v>5.618440099796912</v>
      </c>
      <c r="U35" s="82">
        <f t="shared" si="12"/>
        <v>0.001062948126988605</v>
      </c>
      <c r="V35" s="72"/>
      <c r="W35" s="72"/>
      <c r="X35" s="69"/>
      <c r="Y35" s="71"/>
      <c r="Z35" s="49"/>
      <c r="AA35" s="49"/>
      <c r="AC35" s="49"/>
    </row>
    <row r="36" spans="1:29" ht="12.75" customHeight="1">
      <c r="A36" s="72"/>
      <c r="B36" s="84">
        <f t="shared" si="13"/>
        <v>1.3</v>
      </c>
      <c r="C36" s="82">
        <f t="shared" si="2"/>
        <v>1.484914980681096</v>
      </c>
      <c r="D36" s="75">
        <f t="shared" si="14"/>
        <v>1.538685926838121</v>
      </c>
      <c r="E36" s="75">
        <f t="shared" si="15"/>
        <v>1.5921683328090657</v>
      </c>
      <c r="F36" s="82">
        <f t="shared" si="3"/>
        <v>3.3333333333333335</v>
      </c>
      <c r="G36" s="82">
        <f t="shared" si="4"/>
        <v>1.3047174555332188</v>
      </c>
      <c r="H36" s="82">
        <f t="shared" si="5"/>
        <v>56.756756756756786</v>
      </c>
      <c r="I36" s="75">
        <f t="shared" si="6"/>
        <v>9.362786683715495</v>
      </c>
      <c r="J36" s="82">
        <f t="shared" si="0"/>
        <v>74.91462965598308</v>
      </c>
      <c r="K36" s="82">
        <f t="shared" si="7"/>
        <v>16</v>
      </c>
      <c r="L36" s="82">
        <f t="shared" si="7"/>
        <v>13.334666666666665</v>
      </c>
      <c r="M36" s="82">
        <f t="shared" si="7"/>
        <v>1.8918918918918919</v>
      </c>
      <c r="N36" s="82">
        <f t="shared" si="8"/>
        <v>54.9</v>
      </c>
      <c r="O36" s="82">
        <f t="shared" si="16"/>
        <v>15.135135135135105</v>
      </c>
      <c r="P36" s="82"/>
      <c r="Q36" s="82">
        <f t="shared" si="9"/>
        <v>0</v>
      </c>
      <c r="R36" s="82">
        <f t="shared" si="10"/>
        <v>139.5834680622222</v>
      </c>
      <c r="S36" s="82">
        <f t="shared" si="11"/>
        <v>0.14920296316953208</v>
      </c>
      <c r="T36" s="82">
        <f t="shared" si="1"/>
        <v>4.541746687422716</v>
      </c>
      <c r="U36" s="82">
        <f t="shared" si="12"/>
        <v>0.0008592493732961896</v>
      </c>
      <c r="V36" s="72"/>
      <c r="W36" s="72"/>
      <c r="X36" s="69"/>
      <c r="Y36" s="71"/>
      <c r="Z36" s="49"/>
      <c r="AA36" s="49"/>
      <c r="AC36" s="49"/>
    </row>
    <row r="37" spans="1:29" ht="12.75" customHeight="1">
      <c r="A37" s="72"/>
      <c r="B37" s="84">
        <f t="shared" si="13"/>
        <v>1.3</v>
      </c>
      <c r="C37" s="82">
        <f t="shared" si="2"/>
        <v>1.4844259390115322</v>
      </c>
      <c r="D37" s="75">
        <f t="shared" si="14"/>
        <v>1.538685926838121</v>
      </c>
      <c r="E37" s="75">
        <f t="shared" si="15"/>
        <v>1.5921683328090657</v>
      </c>
      <c r="F37" s="82">
        <f t="shared" si="3"/>
        <v>3.3333333333333335</v>
      </c>
      <c r="G37" s="82">
        <f t="shared" si="4"/>
        <v>1.3038582061599227</v>
      </c>
      <c r="H37" s="82">
        <f t="shared" si="5"/>
        <v>58.64864864864868</v>
      </c>
      <c r="I37" s="75">
        <f t="shared" si="6"/>
        <v>9.360032456459502</v>
      </c>
      <c r="J37" s="82">
        <f t="shared" si="0"/>
        <v>65.52871262303145</v>
      </c>
      <c r="K37" s="82">
        <f t="shared" si="7"/>
        <v>16</v>
      </c>
      <c r="L37" s="82">
        <f t="shared" si="7"/>
        <v>13.334666666666665</v>
      </c>
      <c r="M37" s="82">
        <f t="shared" si="7"/>
        <v>1.8918918918918919</v>
      </c>
      <c r="N37" s="82">
        <f t="shared" si="8"/>
        <v>56.8</v>
      </c>
      <c r="O37" s="82">
        <f t="shared" si="16"/>
        <v>13.243243243243214</v>
      </c>
      <c r="P37" s="82"/>
      <c r="Q37" s="82">
        <f t="shared" si="9"/>
        <v>0</v>
      </c>
      <c r="R37" s="82">
        <f t="shared" si="10"/>
        <v>139.5834680622222</v>
      </c>
      <c r="S37" s="82">
        <f t="shared" si="11"/>
        <v>0.13050959660267322</v>
      </c>
      <c r="T37" s="82">
        <f t="shared" si="1"/>
        <v>3.5692741467824907</v>
      </c>
      <c r="U37" s="82">
        <f t="shared" si="12"/>
        <v>0.0006752680818237144</v>
      </c>
      <c r="V37" s="72"/>
      <c r="W37" s="72"/>
      <c r="X37" s="69"/>
      <c r="Y37" s="71"/>
      <c r="Z37" s="49"/>
      <c r="AA37" s="49"/>
      <c r="AC37" s="49"/>
    </row>
    <row r="38" spans="1:29" ht="12.75" customHeight="1">
      <c r="A38" s="72"/>
      <c r="B38" s="84">
        <f t="shared" si="13"/>
        <v>1.3</v>
      </c>
      <c r="C38" s="82">
        <f t="shared" si="2"/>
        <v>1.4840414971799096</v>
      </c>
      <c r="D38" s="75">
        <f t="shared" si="14"/>
        <v>1.538685926838121</v>
      </c>
      <c r="E38" s="75">
        <f t="shared" si="15"/>
        <v>1.5921683328090657</v>
      </c>
      <c r="F38" s="82">
        <f t="shared" si="3"/>
        <v>3.3333333333333335</v>
      </c>
      <c r="G38" s="82">
        <f t="shared" si="4"/>
        <v>1.303182938078099</v>
      </c>
      <c r="H38" s="82">
        <f t="shared" si="5"/>
        <v>60.540540540540576</v>
      </c>
      <c r="I38" s="75">
        <f t="shared" si="6"/>
        <v>9.357901987841805</v>
      </c>
      <c r="J38" s="82">
        <f t="shared" si="0"/>
        <v>56.15292151491536</v>
      </c>
      <c r="K38" s="82">
        <f t="shared" si="7"/>
        <v>16</v>
      </c>
      <c r="L38" s="82">
        <f t="shared" si="7"/>
        <v>13.334666666666665</v>
      </c>
      <c r="M38" s="82">
        <f t="shared" si="7"/>
        <v>1.8918918918918919</v>
      </c>
      <c r="N38" s="82">
        <f t="shared" si="8"/>
        <v>58.6</v>
      </c>
      <c r="O38" s="82">
        <f t="shared" si="16"/>
        <v>11.351351351351322</v>
      </c>
      <c r="P38" s="82"/>
      <c r="Q38" s="82">
        <f t="shared" si="9"/>
        <v>0</v>
      </c>
      <c r="R38" s="82">
        <f t="shared" si="10"/>
        <v>139.5834680622222</v>
      </c>
      <c r="S38" s="82">
        <f t="shared" si="11"/>
        <v>0.11183639723142401</v>
      </c>
      <c r="T38" s="82">
        <f t="shared" si="1"/>
        <v>2.7031690325877804</v>
      </c>
      <c r="U38" s="82">
        <f t="shared" si="12"/>
        <v>0.0005114103575166072</v>
      </c>
      <c r="V38" s="72"/>
      <c r="W38" s="72"/>
      <c r="X38" s="69"/>
      <c r="Y38" s="71"/>
      <c r="Z38" s="49"/>
      <c r="AA38" s="49"/>
      <c r="AC38" s="49"/>
    </row>
    <row r="39" spans="1:29" ht="12.75" customHeight="1">
      <c r="A39" s="72"/>
      <c r="B39" s="84">
        <f t="shared" si="13"/>
        <v>1.3</v>
      </c>
      <c r="C39" s="82">
        <f t="shared" si="2"/>
        <v>1.4837502761070627</v>
      </c>
      <c r="D39" s="75">
        <f t="shared" si="14"/>
        <v>1.538685926838121</v>
      </c>
      <c r="E39" s="75">
        <f t="shared" si="15"/>
        <v>1.5921683328090657</v>
      </c>
      <c r="F39" s="82">
        <f t="shared" si="3"/>
        <v>3.3333333333333335</v>
      </c>
      <c r="G39" s="82">
        <f t="shared" si="4"/>
        <v>1.3026715277205825</v>
      </c>
      <c r="H39" s="82">
        <f t="shared" si="5"/>
        <v>62.43243243243247</v>
      </c>
      <c r="I39" s="75">
        <f t="shared" si="6"/>
        <v>9.35632247955089</v>
      </c>
      <c r="J39" s="82">
        <f t="shared" si="0"/>
        <v>46.784918615988325</v>
      </c>
      <c r="K39" s="82">
        <f t="shared" si="7"/>
        <v>16</v>
      </c>
      <c r="L39" s="82">
        <f t="shared" si="7"/>
        <v>13.334666666666665</v>
      </c>
      <c r="M39" s="82">
        <f t="shared" si="7"/>
        <v>1.8918918918918919</v>
      </c>
      <c r="N39" s="82">
        <f t="shared" si="8"/>
        <v>60.5</v>
      </c>
      <c r="O39" s="82">
        <f t="shared" si="16"/>
        <v>9.459459459459431</v>
      </c>
      <c r="P39" s="82"/>
      <c r="Q39" s="82">
        <f t="shared" si="9"/>
        <v>0</v>
      </c>
      <c r="R39" s="82">
        <f t="shared" si="10"/>
        <v>139.5834680622222</v>
      </c>
      <c r="S39" s="82">
        <f t="shared" si="11"/>
        <v>0.09317870916810127</v>
      </c>
      <c r="T39" s="82">
        <f t="shared" si="1"/>
        <v>1.9462272216719552</v>
      </c>
      <c r="U39" s="82">
        <f t="shared" si="12"/>
        <v>0.00036820515004604555</v>
      </c>
      <c r="V39" s="72"/>
      <c r="W39" s="72"/>
      <c r="X39" s="69"/>
      <c r="Y39" s="71"/>
      <c r="Z39" s="49"/>
      <c r="AA39" s="49"/>
      <c r="AC39" s="49"/>
    </row>
    <row r="40" spans="1:29" ht="12.75" customHeight="1">
      <c r="A40" s="72"/>
      <c r="B40" s="84">
        <f t="shared" si="13"/>
        <v>1.3</v>
      </c>
      <c r="C40" s="82">
        <f t="shared" si="2"/>
        <v>1.483540567407648</v>
      </c>
      <c r="D40" s="75">
        <f t="shared" si="14"/>
        <v>1.538685926838121</v>
      </c>
      <c r="E40" s="75">
        <f t="shared" si="15"/>
        <v>1.5921683328090657</v>
      </c>
      <c r="F40" s="82">
        <f t="shared" si="3"/>
        <v>3.3333333333333335</v>
      </c>
      <c r="G40" s="82">
        <f t="shared" si="4"/>
        <v>1.3023033225705365</v>
      </c>
      <c r="H40" s="82">
        <f t="shared" si="5"/>
        <v>64.32432432432437</v>
      </c>
      <c r="I40" s="75">
        <f t="shared" si="6"/>
        <v>9.355218785875755</v>
      </c>
      <c r="J40" s="82">
        <f t="shared" si="0"/>
        <v>37.422644943616206</v>
      </c>
      <c r="K40" s="82">
        <f t="shared" si="7"/>
        <v>16</v>
      </c>
      <c r="L40" s="82">
        <f t="shared" si="7"/>
        <v>13.334666666666665</v>
      </c>
      <c r="M40" s="82">
        <f t="shared" si="7"/>
        <v>1.8918918918918919</v>
      </c>
      <c r="N40" s="82">
        <f t="shared" si="8"/>
        <v>62.4</v>
      </c>
      <c r="O40" s="82">
        <f t="shared" si="16"/>
        <v>7.567567567567539</v>
      </c>
      <c r="P40" s="82"/>
      <c r="Q40" s="82">
        <f t="shared" si="9"/>
        <v>0</v>
      </c>
      <c r="R40" s="82">
        <f t="shared" si="10"/>
        <v>139.5834680622222</v>
      </c>
      <c r="S40" s="82">
        <f t="shared" si="11"/>
        <v>0.07453243166080192</v>
      </c>
      <c r="T40" s="82">
        <f t="shared" si="1"/>
        <v>1.3021020545015958</v>
      </c>
      <c r="U40" s="82">
        <f t="shared" si="12"/>
        <v>0.0002463436319327343</v>
      </c>
      <c r="V40" s="72"/>
      <c r="W40" s="72"/>
      <c r="X40" s="69"/>
      <c r="Y40" s="71"/>
      <c r="Z40" s="49"/>
      <c r="AA40" s="49"/>
      <c r="AC40" s="49"/>
    </row>
    <row r="41" spans="1:29" ht="12.75" customHeight="1">
      <c r="A41" s="72"/>
      <c r="B41" s="84">
        <f t="shared" si="13"/>
        <v>1.3</v>
      </c>
      <c r="C41" s="82">
        <f t="shared" si="2"/>
        <v>1.4834002475415193</v>
      </c>
      <c r="D41" s="75">
        <f t="shared" si="14"/>
        <v>1.538685926838121</v>
      </c>
      <c r="E41" s="75">
        <f t="shared" si="15"/>
        <v>1.5921683328090657</v>
      </c>
      <c r="F41" s="82">
        <f t="shared" si="3"/>
        <v>3.3333333333333335</v>
      </c>
      <c r="G41" s="82">
        <f t="shared" si="4"/>
        <v>1.3020569789386038</v>
      </c>
      <c r="H41" s="82">
        <f t="shared" si="5"/>
        <v>66.21621621621625</v>
      </c>
      <c r="I41" s="75">
        <f t="shared" si="6"/>
        <v>9.354512743173299</v>
      </c>
      <c r="J41" s="82">
        <f t="shared" si="0"/>
        <v>28.06432900754212</v>
      </c>
      <c r="K41" s="82">
        <f t="shared" si="7"/>
        <v>16</v>
      </c>
      <c r="L41" s="82">
        <f t="shared" si="7"/>
        <v>13.334666666666665</v>
      </c>
      <c r="M41" s="82">
        <f t="shared" si="7"/>
        <v>1.8918918918918919</v>
      </c>
      <c r="N41" s="82">
        <f t="shared" si="8"/>
        <v>64.3</v>
      </c>
      <c r="O41" s="82">
        <f t="shared" si="16"/>
        <v>5.675675675675647</v>
      </c>
      <c r="P41" s="82"/>
      <c r="Q41" s="82">
        <f t="shared" si="9"/>
        <v>0</v>
      </c>
      <c r="R41" s="82">
        <f t="shared" si="10"/>
        <v>139.5834680622222</v>
      </c>
      <c r="S41" s="82">
        <f t="shared" si="11"/>
        <v>0.055894036538903444</v>
      </c>
      <c r="T41" s="82">
        <f t="shared" si="1"/>
        <v>0.7756777878392987</v>
      </c>
      <c r="U41" s="82">
        <f t="shared" si="12"/>
        <v>0.00014674985175338085</v>
      </c>
      <c r="V41" s="72"/>
      <c r="W41" s="72"/>
      <c r="X41" s="69"/>
      <c r="Y41" s="71"/>
      <c r="Z41" s="49"/>
      <c r="AA41" s="49"/>
      <c r="AC41" s="49"/>
    </row>
    <row r="42" spans="1:29" ht="12.75" customHeight="1">
      <c r="A42" s="72"/>
      <c r="B42" s="84">
        <f t="shared" si="13"/>
        <v>1.3</v>
      </c>
      <c r="C42" s="82">
        <f t="shared" si="2"/>
        <v>1.4833166510077267</v>
      </c>
      <c r="D42" s="75">
        <f t="shared" si="14"/>
        <v>1.538685926838121</v>
      </c>
      <c r="E42" s="75">
        <f t="shared" si="15"/>
        <v>1.5921683328090657</v>
      </c>
      <c r="F42" s="82">
        <f t="shared" si="3"/>
        <v>3.3333333333333335</v>
      </c>
      <c r="G42" s="82">
        <f t="shared" si="4"/>
        <v>1.3019102290868505</v>
      </c>
      <c r="H42" s="82">
        <f t="shared" si="5"/>
        <v>68.10810810810814</v>
      </c>
      <c r="I42" s="75">
        <f t="shared" si="6"/>
        <v>9.35412210971954</v>
      </c>
      <c r="J42" s="82">
        <f t="shared" si="0"/>
        <v>18.708498300998215</v>
      </c>
      <c r="K42" s="82">
        <f t="shared" si="7"/>
        <v>16</v>
      </c>
      <c r="L42" s="82">
        <f t="shared" si="7"/>
        <v>13.334666666666665</v>
      </c>
      <c r="M42" s="82">
        <f t="shared" si="7"/>
        <v>1.8918918918918919</v>
      </c>
      <c r="N42" s="82">
        <f t="shared" si="8"/>
        <v>66.2</v>
      </c>
      <c r="O42" s="82">
        <f t="shared" si="16"/>
        <v>3.783783783783755</v>
      </c>
      <c r="P42" s="82"/>
      <c r="Q42" s="82">
        <f t="shared" si="9"/>
        <v>0</v>
      </c>
      <c r="R42" s="82">
        <f t="shared" si="10"/>
        <v>139.5834680622222</v>
      </c>
      <c r="S42" s="82">
        <f t="shared" si="11"/>
        <v>0.03726059109922006</v>
      </c>
      <c r="T42" s="82">
        <f t="shared" si="1"/>
        <v>0.37382903836593667</v>
      </c>
      <c r="U42" s="82">
        <f t="shared" si="12"/>
        <v>7.072441266382586E-05</v>
      </c>
      <c r="V42" s="72"/>
      <c r="W42" s="72"/>
      <c r="X42" s="69"/>
      <c r="Y42" s="71"/>
      <c r="Z42" s="49"/>
      <c r="AA42" s="49"/>
      <c r="AC42" s="49"/>
    </row>
    <row r="43" spans="1:29" ht="12.75" customHeight="1">
      <c r="A43" s="72"/>
      <c r="B43" s="84">
        <f t="shared" si="13"/>
        <v>1.3</v>
      </c>
      <c r="C43" s="82">
        <f t="shared" si="2"/>
        <v>1.4832763609318986</v>
      </c>
      <c r="D43" s="75">
        <f t="shared" si="14"/>
        <v>1.538685926838121</v>
      </c>
      <c r="E43" s="75">
        <f t="shared" si="15"/>
        <v>1.5921683328090657</v>
      </c>
      <c r="F43" s="82">
        <f t="shared" si="3"/>
        <v>3.3333333333333335</v>
      </c>
      <c r="G43" s="82">
        <f t="shared" si="4"/>
        <v>1.3018395046741866</v>
      </c>
      <c r="H43" s="82">
        <f t="shared" si="5"/>
        <v>70.00000000000003</v>
      </c>
      <c r="I43" s="75">
        <f>C43*F43*M43</f>
        <v>9.353995068939902</v>
      </c>
      <c r="J43" s="82">
        <f t="shared" si="0"/>
        <v>9.35399506893976</v>
      </c>
      <c r="K43" s="82">
        <f t="shared" si="7"/>
        <v>16</v>
      </c>
      <c r="L43" s="82">
        <f t="shared" si="7"/>
        <v>13.334666666666665</v>
      </c>
      <c r="M43" s="82">
        <f t="shared" si="7"/>
        <v>1.8918918918918919</v>
      </c>
      <c r="N43" s="82">
        <f t="shared" si="8"/>
        <v>68.1</v>
      </c>
      <c r="O43" s="82">
        <f t="shared" si="16"/>
        <v>1.891891891891863</v>
      </c>
      <c r="P43" s="82"/>
      <c r="Q43" s="82">
        <f t="shared" si="9"/>
        <v>0</v>
      </c>
      <c r="R43" s="82">
        <f t="shared" si="10"/>
        <v>139.5834680622222</v>
      </c>
      <c r="S43" s="82">
        <f t="shared" si="11"/>
        <v>0.01862978951064654</v>
      </c>
      <c r="T43" s="82">
        <f t="shared" si="1"/>
        <v>0.10734895166384546</v>
      </c>
      <c r="U43" s="82">
        <f t="shared" si="12"/>
        <v>2.0309261125592386E-05</v>
      </c>
      <c r="V43" s="72"/>
      <c r="W43" s="72"/>
      <c r="X43" s="69"/>
      <c r="Y43" s="71"/>
      <c r="Z43" s="49"/>
      <c r="AA43" s="49"/>
      <c r="AC43" s="49"/>
    </row>
    <row r="44" spans="1:25" ht="15">
      <c r="A44" s="85" t="s">
        <v>23</v>
      </c>
      <c r="B44" s="75"/>
      <c r="C44" s="86">
        <f>MAXA(C7:C43)</f>
        <v>1.5921683328090657</v>
      </c>
      <c r="D44" s="105" t="s">
        <v>31</v>
      </c>
      <c r="E44" s="105"/>
      <c r="F44" s="105"/>
      <c r="G44" s="75">
        <f>(MAXA(G7:G43)+SMALL(G7:G43,1))/2</f>
        <v>1.4009197523370933</v>
      </c>
      <c r="H44" s="85" t="s">
        <v>24</v>
      </c>
      <c r="I44" s="75"/>
      <c r="J44" s="75">
        <f>SUM(I7:I43)</f>
        <v>352.7882643275789</v>
      </c>
      <c r="K44" s="75" t="s">
        <v>8</v>
      </c>
      <c r="L44" s="72"/>
      <c r="M44" s="72"/>
      <c r="N44" s="82">
        <f t="shared" si="8"/>
        <v>70</v>
      </c>
      <c r="O44" s="87" t="s">
        <v>14</v>
      </c>
      <c r="P44" s="88" t="s">
        <v>11</v>
      </c>
      <c r="Q44" s="112" t="s">
        <v>12</v>
      </c>
      <c r="R44" s="112"/>
      <c r="S44" s="104" t="s">
        <v>5</v>
      </c>
      <c r="T44" s="104"/>
      <c r="U44" s="89">
        <f>ROUND(SUM(U7:U43),2)</f>
        <v>0.2</v>
      </c>
      <c r="V44" s="72"/>
      <c r="W44" s="72"/>
      <c r="X44" s="69"/>
      <c r="Y44" s="69"/>
    </row>
    <row r="45" spans="1:25" ht="12.75">
      <c r="A45" s="85" t="s">
        <v>25</v>
      </c>
      <c r="B45" s="75"/>
      <c r="C45" s="75">
        <f>(C44+C46)/2</f>
        <v>1.5377223468704821</v>
      </c>
      <c r="D45" s="75">
        <f>ROUND(100-C46*100/C44,2)</f>
        <v>6.84</v>
      </c>
      <c r="E45" s="75"/>
      <c r="F45" s="75" t="s">
        <v>30</v>
      </c>
      <c r="G45" s="75"/>
      <c r="H45" s="85" t="s">
        <v>29</v>
      </c>
      <c r="I45" s="75"/>
      <c r="J45" s="75">
        <f>G44^0.5*B7*F7*O7</f>
        <v>359.02671626222826</v>
      </c>
      <c r="K45" s="75">
        <f>J45*100/J44-100</f>
        <v>1.7683275112736538</v>
      </c>
      <c r="L45" s="72">
        <v>13.7</v>
      </c>
      <c r="M45" s="104" t="s">
        <v>26</v>
      </c>
      <c r="N45" s="104"/>
      <c r="O45" s="111" t="s">
        <v>13</v>
      </c>
      <c r="P45" s="111"/>
      <c r="Q45" s="111"/>
      <c r="R45" s="87" t="s">
        <v>40</v>
      </c>
      <c r="S45" s="73"/>
      <c r="T45" s="73">
        <f>IF(ЭЛКО!F7&lt;1,0,IF(ЭЛКО!F8=0,0,IF(ЭЛКО!F8&lt;20,0,IF(ЭЛКО!F10=0,0,1))))</f>
        <v>1</v>
      </c>
      <c r="U45" s="72" t="s">
        <v>37</v>
      </c>
      <c r="V45" s="72"/>
      <c r="W45" s="72"/>
      <c r="X45" s="69"/>
      <c r="Y45" s="69"/>
    </row>
    <row r="46" spans="1:25" ht="15">
      <c r="A46" s="85" t="s">
        <v>27</v>
      </c>
      <c r="B46" s="75"/>
      <c r="C46" s="86">
        <f>SMALL(C7:C43,1)</f>
        <v>1.4832763609318986</v>
      </c>
      <c r="D46" s="74"/>
      <c r="E46" s="74"/>
      <c r="F46" s="85" t="s">
        <v>28</v>
      </c>
      <c r="G46" s="75"/>
      <c r="H46" s="75"/>
      <c r="I46" s="75"/>
      <c r="J46" s="75">
        <f>J45-D45/100*F7^0.3*114*G7^0.42/2</f>
        <v>352.39306082550024</v>
      </c>
      <c r="K46" s="75">
        <f>J46*100/J44-100</f>
        <v>-0.11202285961294933</v>
      </c>
      <c r="L46" s="72" t="s">
        <v>45</v>
      </c>
      <c r="M46" s="72"/>
      <c r="N46" s="72"/>
      <c r="O46" s="88" t="s">
        <v>3</v>
      </c>
      <c r="P46" s="112" t="s">
        <v>15</v>
      </c>
      <c r="Q46" s="112"/>
      <c r="R46" s="112"/>
      <c r="S46" s="72"/>
      <c r="T46" s="75">
        <f>IF(ЭЛКО!F6&lt;1,0,IF(ЭЛКО!F6&gt;3,0,1))</f>
        <v>1</v>
      </c>
      <c r="U46" s="90" t="s">
        <v>16</v>
      </c>
      <c r="V46" s="72"/>
      <c r="W46" s="72"/>
      <c r="X46" s="69"/>
      <c r="Y46" s="69"/>
    </row>
    <row r="47" spans="1:25" ht="12.75" customHeight="1">
      <c r="A47" s="72"/>
      <c r="B47" s="72"/>
      <c r="C47" s="72"/>
      <c r="D47" s="75"/>
      <c r="E47" s="75"/>
      <c r="F47" s="76"/>
      <c r="G47" s="76"/>
      <c r="H47" s="76"/>
      <c r="I47" s="77"/>
      <c r="J47" s="77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7"/>
      <c r="V47" s="72"/>
      <c r="W47" s="72"/>
      <c r="X47" s="69"/>
      <c r="Y47" s="69"/>
    </row>
    <row r="48" spans="1:25" ht="12.75">
      <c r="A48" s="72"/>
      <c r="B48" s="72"/>
      <c r="C48" s="76"/>
      <c r="D48" s="75"/>
      <c r="E48" s="75"/>
      <c r="F48" s="76"/>
      <c r="G48" s="76"/>
      <c r="H48" s="76"/>
      <c r="I48" s="72"/>
      <c r="J48" s="76"/>
      <c r="K48" s="76"/>
      <c r="L48" s="72"/>
      <c r="M48" s="72"/>
      <c r="N48" s="72"/>
      <c r="O48" s="72"/>
      <c r="P48" s="72"/>
      <c r="Q48" s="72"/>
      <c r="R48" s="72"/>
      <c r="S48" s="72"/>
      <c r="T48" s="72"/>
      <c r="U48" s="77"/>
      <c r="V48" s="72"/>
      <c r="W48" s="72"/>
      <c r="X48" s="69"/>
      <c r="Y48" s="69"/>
    </row>
    <row r="49" spans="1:25" ht="15">
      <c r="A49" s="69"/>
      <c r="B49" s="72"/>
      <c r="C49" s="72"/>
      <c r="D49" s="72"/>
      <c r="E49" s="72"/>
      <c r="F49" s="72"/>
      <c r="G49" s="72"/>
      <c r="H49" s="72"/>
      <c r="I49" s="72"/>
      <c r="J49" s="73"/>
      <c r="K49" s="91"/>
      <c r="L49" s="75"/>
      <c r="M49" s="92"/>
      <c r="N49" s="93"/>
      <c r="O49" s="94"/>
      <c r="P49" s="95"/>
      <c r="Q49" s="72"/>
      <c r="R49" s="72"/>
      <c r="S49" s="69"/>
      <c r="T49" s="69"/>
      <c r="U49" s="77"/>
      <c r="V49" s="72"/>
      <c r="W49" s="69"/>
      <c r="X49" s="69"/>
      <c r="Y49" s="69"/>
    </row>
    <row r="50" spans="1:25" ht="15.75">
      <c r="A50" s="69"/>
      <c r="B50" s="72"/>
      <c r="C50" s="72"/>
      <c r="D50" s="72"/>
      <c r="E50" s="72"/>
      <c r="F50" s="72"/>
      <c r="G50" s="72"/>
      <c r="H50" s="72"/>
      <c r="I50" s="72"/>
      <c r="J50" s="72"/>
      <c r="K50" s="75"/>
      <c r="L50" s="75"/>
      <c r="M50" s="72"/>
      <c r="N50" s="72"/>
      <c r="O50" s="72"/>
      <c r="P50" s="80"/>
      <c r="Q50" s="72"/>
      <c r="R50" s="72"/>
      <c r="S50" s="69"/>
      <c r="T50" s="69"/>
      <c r="U50" s="72"/>
      <c r="V50" s="72"/>
      <c r="W50" s="69"/>
      <c r="X50" s="69"/>
      <c r="Y50" s="69"/>
    </row>
    <row r="51" spans="1:25" ht="15.75">
      <c r="A51" s="69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5"/>
      <c r="M51" s="72"/>
      <c r="N51" s="72"/>
      <c r="O51" s="72"/>
      <c r="P51" s="80"/>
      <c r="Q51" s="72"/>
      <c r="R51" s="69"/>
      <c r="S51" s="69"/>
      <c r="T51" s="69"/>
      <c r="U51" s="72"/>
      <c r="V51" s="72"/>
      <c r="W51" s="69"/>
      <c r="X51" s="69"/>
      <c r="Y51" s="69"/>
    </row>
    <row r="52" spans="1:25" ht="15.75">
      <c r="A52" s="69"/>
      <c r="B52" s="96"/>
      <c r="C52" s="96"/>
      <c r="D52" s="72"/>
      <c r="E52" s="90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80"/>
      <c r="Q52" s="72"/>
      <c r="R52" s="69"/>
      <c r="S52" s="69"/>
      <c r="T52" s="69"/>
      <c r="U52" s="72"/>
      <c r="V52" s="72"/>
      <c r="W52" s="69"/>
      <c r="X52" s="69"/>
      <c r="Y52" s="69"/>
    </row>
    <row r="53" spans="1:25" ht="12.75">
      <c r="A53" s="69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69"/>
      <c r="S53" s="69"/>
      <c r="T53" s="69"/>
      <c r="U53" s="72"/>
      <c r="V53" s="72"/>
      <c r="W53" s="69"/>
      <c r="X53" s="69"/>
      <c r="Y53" s="69"/>
    </row>
    <row r="54" spans="1:25" ht="12.75">
      <c r="A54" s="69"/>
      <c r="B54" s="69"/>
      <c r="C54" s="69"/>
      <c r="D54" s="69"/>
      <c r="E54" s="69"/>
      <c r="F54" s="69"/>
      <c r="G54" s="69"/>
      <c r="H54" s="69"/>
      <c r="I54" s="72"/>
      <c r="J54" s="72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72"/>
      <c r="V54" s="72"/>
      <c r="W54" s="69"/>
      <c r="X54" s="69"/>
      <c r="Y54" s="69"/>
    </row>
    <row r="55" spans="1:25" ht="12.75">
      <c r="A55" s="69"/>
      <c r="B55" s="69"/>
      <c r="C55" s="69"/>
      <c r="D55" s="69"/>
      <c r="E55" s="69"/>
      <c r="F55" s="69"/>
      <c r="G55" s="69"/>
      <c r="H55" s="69"/>
      <c r="I55" s="72"/>
      <c r="J55" s="72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72"/>
      <c r="V55" s="72"/>
      <c r="W55" s="69"/>
      <c r="X55" s="69"/>
      <c r="Y55" s="69"/>
    </row>
    <row r="56" spans="1:25" ht="12.75">
      <c r="A56" s="69"/>
      <c r="B56" s="69"/>
      <c r="C56" s="69"/>
      <c r="D56" s="69"/>
      <c r="E56" s="69"/>
      <c r="F56" s="69"/>
      <c r="G56" s="69"/>
      <c r="H56" s="69"/>
      <c r="I56" s="72"/>
      <c r="J56" s="72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72"/>
      <c r="V56" s="72"/>
      <c r="W56" s="69"/>
      <c r="X56" s="69"/>
      <c r="Y56" s="69"/>
    </row>
    <row r="57" spans="1:25" ht="12.75">
      <c r="A57" s="69"/>
      <c r="B57" s="69"/>
      <c r="C57" s="69"/>
      <c r="D57" s="69"/>
      <c r="E57" s="69"/>
      <c r="F57" s="69"/>
      <c r="G57" s="69"/>
      <c r="H57" s="69"/>
      <c r="I57" s="72"/>
      <c r="J57" s="72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72"/>
      <c r="V57" s="72"/>
      <c r="W57" s="69"/>
      <c r="X57" s="69"/>
      <c r="Y57" s="69"/>
    </row>
    <row r="58" spans="1:25" ht="12.75">
      <c r="A58" s="69"/>
      <c r="B58" s="69"/>
      <c r="C58" s="69"/>
      <c r="D58" s="69"/>
      <c r="E58" s="69"/>
      <c r="F58" s="69"/>
      <c r="G58" s="69"/>
      <c r="H58" s="69"/>
      <c r="I58" s="72"/>
      <c r="J58" s="72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72"/>
      <c r="V58" s="72"/>
      <c r="W58" s="69"/>
      <c r="X58" s="69"/>
      <c r="Y58" s="69"/>
    </row>
    <row r="59" spans="1:25" ht="12.75">
      <c r="A59" s="69"/>
      <c r="B59" s="69"/>
      <c r="C59" s="69"/>
      <c r="D59" s="69"/>
      <c r="E59" s="69"/>
      <c r="F59" s="69"/>
      <c r="G59" s="69"/>
      <c r="H59" s="69"/>
      <c r="I59" s="72"/>
      <c r="J59" s="72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72"/>
      <c r="V59" s="72"/>
      <c r="W59" s="69"/>
      <c r="X59" s="69"/>
      <c r="Y59" s="69"/>
    </row>
    <row r="60" spans="1:25" ht="12.75">
      <c r="A60" s="69"/>
      <c r="B60" s="69"/>
      <c r="C60" s="69"/>
      <c r="D60" s="69"/>
      <c r="E60" s="69"/>
      <c r="F60" s="69"/>
      <c r="G60" s="69"/>
      <c r="H60" s="69"/>
      <c r="I60" s="72"/>
      <c r="J60" s="72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72"/>
      <c r="V60" s="72"/>
      <c r="W60" s="69"/>
      <c r="X60" s="69"/>
      <c r="Y60" s="69"/>
    </row>
    <row r="61" spans="1:25" ht="12.75">
      <c r="A61" s="69"/>
      <c r="B61" s="69"/>
      <c r="C61" s="69"/>
      <c r="D61" s="69"/>
      <c r="E61" s="69"/>
      <c r="F61" s="69"/>
      <c r="G61" s="69"/>
      <c r="H61" s="69"/>
      <c r="I61" s="72"/>
      <c r="J61" s="72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72"/>
      <c r="V61" s="72"/>
      <c r="W61" s="69"/>
      <c r="X61" s="69"/>
      <c r="Y61" s="69"/>
    </row>
    <row r="62" spans="1:25" ht="12.75">
      <c r="A62" s="69"/>
      <c r="B62" s="69"/>
      <c r="C62" s="69"/>
      <c r="D62" s="69"/>
      <c r="E62" s="69"/>
      <c r="F62" s="69"/>
      <c r="G62" s="69"/>
      <c r="H62" s="69"/>
      <c r="I62" s="72"/>
      <c r="J62" s="72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72"/>
      <c r="V62" s="72"/>
      <c r="W62" s="69"/>
      <c r="X62" s="69"/>
      <c r="Y62" s="69"/>
    </row>
    <row r="63" spans="1:25" ht="12.75">
      <c r="A63" s="69"/>
      <c r="B63" s="69"/>
      <c r="C63" s="69"/>
      <c r="D63" s="69"/>
      <c r="E63" s="69"/>
      <c r="F63" s="69"/>
      <c r="G63" s="69"/>
      <c r="H63" s="69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69"/>
      <c r="X63" s="69"/>
      <c r="Y63" s="69"/>
    </row>
    <row r="64" spans="1:25" ht="12.75">
      <c r="A64" s="69"/>
      <c r="B64" s="69"/>
      <c r="C64" s="69"/>
      <c r="D64" s="69"/>
      <c r="E64" s="69"/>
      <c r="F64" s="69"/>
      <c r="G64" s="69"/>
      <c r="H64" s="69"/>
      <c r="I64" s="72"/>
      <c r="J64" s="72"/>
      <c r="K64" s="72"/>
      <c r="L64" s="72"/>
      <c r="M64" s="69"/>
      <c r="N64" s="69"/>
      <c r="O64" s="69"/>
      <c r="P64" s="69"/>
      <c r="Q64" s="69"/>
      <c r="R64" s="69"/>
      <c r="S64" s="69"/>
      <c r="T64" s="69"/>
      <c r="U64" s="72"/>
      <c r="V64" s="72"/>
      <c r="W64" s="69"/>
      <c r="X64" s="69"/>
      <c r="Y64" s="69"/>
    </row>
    <row r="65" spans="1:25" ht="12.75">
      <c r="A65" s="69"/>
      <c r="B65" s="69"/>
      <c r="C65" s="69"/>
      <c r="D65" s="69"/>
      <c r="E65" s="69"/>
      <c r="F65" s="69"/>
      <c r="G65" s="69"/>
      <c r="H65" s="69"/>
      <c r="I65" s="72"/>
      <c r="J65" s="72"/>
      <c r="K65" s="72"/>
      <c r="L65" s="72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</row>
    <row r="66" spans="1:25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</row>
    <row r="67" spans="1:25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72"/>
      <c r="N67" s="72"/>
      <c r="O67" s="72"/>
      <c r="P67" s="72"/>
      <c r="Q67" s="69"/>
      <c r="R67" s="69"/>
      <c r="S67" s="69"/>
      <c r="T67" s="69"/>
      <c r="U67" s="69"/>
      <c r="V67" s="69"/>
      <c r="W67" s="69"/>
      <c r="X67" s="69"/>
      <c r="Y67" s="69"/>
    </row>
    <row r="68" spans="1:25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72"/>
      <c r="N68" s="72"/>
      <c r="O68" s="72"/>
      <c r="P68" s="72"/>
      <c r="Q68" s="69"/>
      <c r="R68" s="69"/>
      <c r="S68" s="69"/>
      <c r="T68" s="69"/>
      <c r="U68" s="69"/>
      <c r="V68" s="69"/>
      <c r="W68" s="69"/>
      <c r="X68" s="69"/>
      <c r="Y68" s="69"/>
    </row>
    <row r="69" spans="1:25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72"/>
      <c r="N69" s="72"/>
      <c r="O69" s="72"/>
      <c r="P69" s="72"/>
      <c r="Q69" s="69"/>
      <c r="R69" s="69"/>
      <c r="S69" s="69"/>
      <c r="T69" s="69"/>
      <c r="U69" s="69"/>
      <c r="V69" s="69"/>
      <c r="W69" s="69"/>
      <c r="X69" s="69"/>
      <c r="Y69" s="69"/>
    </row>
    <row r="70" spans="1:25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72"/>
      <c r="N70" s="72"/>
      <c r="O70" s="72"/>
      <c r="P70" s="72"/>
      <c r="Q70" s="69"/>
      <c r="R70" s="69"/>
      <c r="S70" s="69"/>
      <c r="T70" s="69"/>
      <c r="U70" s="69"/>
      <c r="V70" s="69"/>
      <c r="W70" s="69"/>
      <c r="X70" s="69"/>
      <c r="Y70" s="69"/>
    </row>
    <row r="71" spans="1:25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72"/>
      <c r="N71" s="72"/>
      <c r="O71" s="72"/>
      <c r="P71" s="72"/>
      <c r="Q71" s="69"/>
      <c r="R71" s="69"/>
      <c r="S71" s="69"/>
      <c r="T71" s="69"/>
      <c r="U71" s="69"/>
      <c r="V71" s="69"/>
      <c r="W71" s="69"/>
      <c r="X71" s="69"/>
      <c r="Y71" s="69"/>
    </row>
    <row r="72" spans="1:25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72"/>
      <c r="N72" s="72"/>
      <c r="O72" s="72"/>
      <c r="P72" s="72"/>
      <c r="Q72" s="69"/>
      <c r="R72" s="69"/>
      <c r="S72" s="69"/>
      <c r="T72" s="69"/>
      <c r="U72" s="69"/>
      <c r="V72" s="69"/>
      <c r="W72" s="69"/>
      <c r="X72" s="69"/>
      <c r="Y72" s="69"/>
    </row>
    <row r="73" spans="1:25" ht="15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72"/>
      <c r="N73" s="72"/>
      <c r="O73" s="72"/>
      <c r="P73" s="72"/>
      <c r="Q73" s="72"/>
      <c r="R73" s="72"/>
      <c r="S73" s="80"/>
      <c r="T73" s="69"/>
      <c r="U73" s="69"/>
      <c r="V73" s="69"/>
      <c r="W73" s="69"/>
      <c r="X73" s="69"/>
      <c r="Y73" s="69"/>
    </row>
    <row r="74" spans="1:25" ht="15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72"/>
      <c r="N74" s="72"/>
      <c r="O74" s="72"/>
      <c r="P74" s="72"/>
      <c r="Q74" s="72"/>
      <c r="R74" s="72"/>
      <c r="S74" s="80"/>
      <c r="T74" s="69"/>
      <c r="U74" s="69"/>
      <c r="V74" s="69"/>
      <c r="W74" s="69"/>
      <c r="X74" s="69"/>
      <c r="Y74" s="69"/>
    </row>
    <row r="75" spans="1:25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</row>
    <row r="76" spans="1:25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</row>
    <row r="77" spans="1:25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72"/>
      <c r="R77" s="72"/>
      <c r="S77" s="72"/>
      <c r="T77" s="72"/>
      <c r="U77" s="69"/>
      <c r="V77" s="69"/>
      <c r="W77" s="69"/>
      <c r="X77" s="69"/>
      <c r="Y77" s="69"/>
    </row>
    <row r="78" spans="1:25" ht="15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72"/>
      <c r="R78" s="72"/>
      <c r="S78" s="72"/>
      <c r="T78" s="80"/>
      <c r="U78" s="69"/>
      <c r="V78" s="69"/>
      <c r="W78" s="69"/>
      <c r="X78" s="69"/>
      <c r="Y78" s="69"/>
    </row>
    <row r="79" spans="1:25" ht="15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72"/>
      <c r="R79" s="72"/>
      <c r="S79" s="72"/>
      <c r="T79" s="80"/>
      <c r="U79" s="69"/>
      <c r="V79" s="69"/>
      <c r="W79" s="69"/>
      <c r="X79" s="69"/>
      <c r="Y79" s="69"/>
    </row>
    <row r="80" spans="1:25" ht="15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72"/>
      <c r="R80" s="72"/>
      <c r="S80" s="72"/>
      <c r="T80" s="80"/>
      <c r="U80" s="69"/>
      <c r="V80" s="69"/>
      <c r="W80" s="69"/>
      <c r="X80" s="69"/>
      <c r="Y80" s="69"/>
    </row>
    <row r="81" spans="1:25" ht="15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72"/>
      <c r="R81" s="72"/>
      <c r="S81" s="72"/>
      <c r="T81" s="80"/>
      <c r="U81" s="69"/>
      <c r="V81" s="69"/>
      <c r="W81" s="69"/>
      <c r="X81" s="69"/>
      <c r="Y81" s="69"/>
    </row>
    <row r="82" spans="1:25" ht="15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72"/>
      <c r="R82" s="72"/>
      <c r="S82" s="72"/>
      <c r="T82" s="80"/>
      <c r="U82" s="69"/>
      <c r="V82" s="69"/>
      <c r="W82" s="69"/>
      <c r="X82" s="69"/>
      <c r="Y82" s="69"/>
    </row>
    <row r="83" spans="1:25" ht="15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72"/>
      <c r="R83" s="72"/>
      <c r="S83" s="72"/>
      <c r="T83" s="80"/>
      <c r="U83" s="69"/>
      <c r="V83" s="69"/>
      <c r="W83" s="69"/>
      <c r="X83" s="69"/>
      <c r="Y83" s="69"/>
    </row>
    <row r="84" spans="1:25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72"/>
      <c r="R84" s="72"/>
      <c r="S84" s="72"/>
      <c r="T84" s="80"/>
      <c r="U84" s="69"/>
      <c r="V84" s="69"/>
      <c r="W84" s="69"/>
      <c r="X84" s="69"/>
      <c r="Y84" s="69"/>
    </row>
    <row r="85" spans="1:25" ht="15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72"/>
      <c r="R85" s="72"/>
      <c r="S85" s="72"/>
      <c r="T85" s="80"/>
      <c r="U85" s="69"/>
      <c r="V85" s="69"/>
      <c r="W85" s="69"/>
      <c r="X85" s="69"/>
      <c r="Y85" s="69"/>
    </row>
    <row r="86" spans="1:25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72"/>
      <c r="R86" s="72"/>
      <c r="S86" s="72"/>
      <c r="T86" s="72"/>
      <c r="U86" s="69"/>
      <c r="V86" s="69"/>
      <c r="W86" s="69"/>
      <c r="X86" s="69"/>
      <c r="Y86" s="69"/>
    </row>
    <row r="87" spans="1:25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</row>
    <row r="88" spans="1:25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</row>
    <row r="89" spans="1:25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</row>
    <row r="90" spans="1:25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</row>
    <row r="91" spans="1:23" ht="12.75">
      <c r="A91" s="68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</row>
    <row r="92" spans="1:23" ht="12.75">
      <c r="A92" s="68"/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</row>
    <row r="93" spans="1:23" ht="12.75">
      <c r="A93" s="68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</row>
    <row r="94" spans="1:23" ht="12.75">
      <c r="A94" s="68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</row>
  </sheetData>
  <sheetProtection selectLockedCells="1" selectUnlockedCells="1"/>
  <mergeCells count="26">
    <mergeCell ref="B2:U2"/>
    <mergeCell ref="O45:Q45"/>
    <mergeCell ref="Q44:R44"/>
    <mergeCell ref="P46:R46"/>
    <mergeCell ref="F3:F6"/>
    <mergeCell ref="U3:U6"/>
    <mergeCell ref="N3:N6"/>
    <mergeCell ref="S3:S6"/>
    <mergeCell ref="J3:J6"/>
    <mergeCell ref="S44:T44"/>
    <mergeCell ref="B1:U1"/>
    <mergeCell ref="T3:T6"/>
    <mergeCell ref="P3:P6"/>
    <mergeCell ref="D3:D6"/>
    <mergeCell ref="G3:G6"/>
    <mergeCell ref="H3:H6"/>
    <mergeCell ref="I3:I6"/>
    <mergeCell ref="O3:O6"/>
    <mergeCell ref="K3:K6"/>
    <mergeCell ref="M3:M6"/>
    <mergeCell ref="C3:C6"/>
    <mergeCell ref="R3:R6"/>
    <mergeCell ref="Q3:Q6"/>
    <mergeCell ref="M45:N45"/>
    <mergeCell ref="D44:F44"/>
    <mergeCell ref="L3:L6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15"/>
  </sheetPr>
  <dimension ref="B1:Y37"/>
  <sheetViews>
    <sheetView showGridLines="0" tabSelected="1" zoomScaleSheetLayoutView="100" workbookViewId="0" topLeftCell="A1">
      <selection activeCell="F6" sqref="F6:G6"/>
    </sheetView>
  </sheetViews>
  <sheetFormatPr defaultColWidth="9.00390625" defaultRowHeight="12.75"/>
  <cols>
    <col min="1" max="1" width="2.125" style="14" customWidth="1"/>
    <col min="2" max="2" width="4.75390625" style="14" customWidth="1"/>
    <col min="3" max="3" width="33.125" style="14" customWidth="1"/>
    <col min="4" max="4" width="35.625" style="14" customWidth="1"/>
    <col min="5" max="5" width="9.25390625" style="14" customWidth="1"/>
    <col min="6" max="6" width="8.375" style="14" customWidth="1"/>
    <col min="7" max="7" width="19.00390625" style="14" customWidth="1"/>
    <col min="8" max="8" width="5.125" style="14" customWidth="1"/>
    <col min="9" max="9" width="3.375" style="14" customWidth="1"/>
    <col min="10" max="10" width="4.875" style="14" customWidth="1"/>
    <col min="11" max="11" width="2.625" style="14" customWidth="1"/>
    <col min="12" max="12" width="6.00390625" style="14" customWidth="1"/>
    <col min="13" max="13" width="5.375" style="14" customWidth="1"/>
    <col min="14" max="14" width="5.875" style="14" customWidth="1"/>
    <col min="15" max="15" width="6.125" style="2" customWidth="1"/>
    <col min="16" max="16" width="6.00390625" style="2" customWidth="1"/>
    <col min="17" max="17" width="5.75390625" style="2" customWidth="1"/>
    <col min="18" max="18" width="5.875" style="14" customWidth="1"/>
    <col min="19" max="19" width="7.125" style="14" customWidth="1"/>
    <col min="20" max="20" width="7.00390625" style="14" customWidth="1"/>
    <col min="21" max="21" width="7.125" style="14" customWidth="1"/>
    <col min="22" max="22" width="7.375" style="14" customWidth="1"/>
    <col min="23" max="23" width="6.375" style="14" customWidth="1"/>
    <col min="24" max="25" width="7.25390625" style="2" customWidth="1"/>
    <col min="26" max="26" width="7.25390625" style="14" customWidth="1"/>
    <col min="27" max="27" width="3.625" style="14" customWidth="1"/>
    <col min="28" max="28" width="0.37109375" style="14" customWidth="1"/>
    <col min="29" max="29" width="6.00390625" style="14" customWidth="1"/>
    <col min="30" max="30" width="4.625" style="2" customWidth="1"/>
    <col min="31" max="31" width="3.125" style="14" customWidth="1"/>
    <col min="32" max="32" width="6.875" style="14" customWidth="1"/>
    <col min="33" max="33" width="6.875" style="2" customWidth="1"/>
    <col min="34" max="34" width="6.875" style="14" customWidth="1"/>
    <col min="35" max="36" width="11.75390625" style="14" customWidth="1"/>
    <col min="37" max="38" width="9.125" style="14" customWidth="1"/>
    <col min="39" max="39" width="15.25390625" style="14" customWidth="1"/>
    <col min="40" max="43" width="9.125" style="14" customWidth="1"/>
    <col min="44" max="44" width="11.375" style="14" customWidth="1"/>
    <col min="45" max="16384" width="9.125" style="14" customWidth="1"/>
  </cols>
  <sheetData>
    <row r="1" spans="22:25" ht="4.5" customHeight="1">
      <c r="V1" s="3"/>
      <c r="W1" s="3"/>
      <c r="X1" s="3"/>
      <c r="Y1" s="3"/>
    </row>
    <row r="2" spans="2:25" ht="51.75" customHeight="1">
      <c r="B2" s="153" t="s">
        <v>44</v>
      </c>
      <c r="C2" s="153"/>
      <c r="D2" s="153"/>
      <c r="E2" s="153"/>
      <c r="F2" s="153"/>
      <c r="G2" s="153"/>
      <c r="H2" s="153"/>
      <c r="V2" s="3"/>
      <c r="W2" s="3"/>
      <c r="X2" s="3"/>
      <c r="Y2" s="3"/>
    </row>
    <row r="3" spans="2:25" ht="3" customHeight="1">
      <c r="B3" s="148"/>
      <c r="C3" s="145"/>
      <c r="D3" s="145"/>
      <c r="E3" s="145"/>
      <c r="F3" s="145"/>
      <c r="G3" s="145"/>
      <c r="H3" s="145"/>
      <c r="V3" s="3"/>
      <c r="W3" s="3"/>
      <c r="X3" s="3"/>
      <c r="Y3" s="3"/>
    </row>
    <row r="4" spans="2:8" ht="36" customHeight="1">
      <c r="B4" s="15"/>
      <c r="C4" s="151" t="s">
        <v>47</v>
      </c>
      <c r="D4" s="151"/>
      <c r="E4" s="151"/>
      <c r="F4" s="151"/>
      <c r="G4" s="151"/>
      <c r="H4" s="4"/>
    </row>
    <row r="5" spans="2:8" ht="22.5" customHeight="1" thickBot="1">
      <c r="B5" s="16"/>
      <c r="C5" s="98" t="s">
        <v>35</v>
      </c>
      <c r="D5" s="118"/>
      <c r="E5" s="13" t="s">
        <v>18</v>
      </c>
      <c r="F5" s="146" t="s">
        <v>21</v>
      </c>
      <c r="G5" s="147"/>
      <c r="H5" s="5"/>
    </row>
    <row r="6" spans="2:8" ht="15.75" customHeight="1" thickBot="1">
      <c r="B6" s="16"/>
      <c r="C6" s="117" t="s">
        <v>42</v>
      </c>
      <c r="D6" s="97"/>
      <c r="E6" s="6" t="s">
        <v>9</v>
      </c>
      <c r="F6" s="149">
        <v>2</v>
      </c>
      <c r="G6" s="150"/>
      <c r="H6" s="5"/>
    </row>
    <row r="7" spans="2:8" ht="15.75" customHeight="1" thickBot="1">
      <c r="B7" s="16"/>
      <c r="C7" s="129" t="s">
        <v>20</v>
      </c>
      <c r="D7" s="130"/>
      <c r="E7" s="12" t="s">
        <v>6</v>
      </c>
      <c r="F7" s="149">
        <v>70</v>
      </c>
      <c r="G7" s="150"/>
      <c r="H7" s="5"/>
    </row>
    <row r="8" spans="2:8" ht="15.75" customHeight="1" thickBot="1">
      <c r="B8" s="16"/>
      <c r="C8" s="117" t="s">
        <v>41</v>
      </c>
      <c r="D8" s="97"/>
      <c r="E8" s="6" t="s">
        <v>19</v>
      </c>
      <c r="F8" s="149">
        <v>30</v>
      </c>
      <c r="G8" s="150"/>
      <c r="H8" s="5"/>
    </row>
    <row r="9" spans="2:8" ht="15.75" thickBot="1">
      <c r="B9" s="16"/>
      <c r="C9" s="51" t="s">
        <v>39</v>
      </c>
      <c r="D9" s="52"/>
      <c r="E9" s="53" t="s">
        <v>6</v>
      </c>
      <c r="F9" s="134">
        <v>0</v>
      </c>
      <c r="G9" s="135"/>
      <c r="H9" s="5"/>
    </row>
    <row r="10" spans="2:8" ht="15.75" thickBot="1">
      <c r="B10" s="16"/>
      <c r="C10" s="54" t="s">
        <v>1</v>
      </c>
      <c r="D10" s="55"/>
      <c r="E10" s="56" t="s">
        <v>10</v>
      </c>
      <c r="F10" s="126">
        <v>1.5</v>
      </c>
      <c r="G10" s="127"/>
      <c r="H10" s="5"/>
    </row>
    <row r="11" spans="2:8" ht="4.5" customHeight="1">
      <c r="B11" s="16"/>
      <c r="C11" s="22"/>
      <c r="D11" s="23"/>
      <c r="E11" s="24"/>
      <c r="F11" s="119"/>
      <c r="G11" s="119"/>
      <c r="H11" s="5"/>
    </row>
    <row r="12" spans="2:8" ht="22.5" customHeight="1">
      <c r="B12" s="16"/>
      <c r="C12" s="124" t="s">
        <v>36</v>
      </c>
      <c r="D12" s="125"/>
      <c r="E12" s="57"/>
      <c r="F12" s="57"/>
      <c r="G12" s="58"/>
      <c r="H12" s="5"/>
    </row>
    <row r="13" spans="2:8" ht="18.75" customHeight="1">
      <c r="B13" s="16"/>
      <c r="C13" s="59" t="s">
        <v>43</v>
      </c>
      <c r="D13" s="60"/>
      <c r="E13" s="20" t="s">
        <v>10</v>
      </c>
      <c r="F13" s="115">
        <f>IF(F10&gt;2.5,Э!L46,IF(Э!T45=0,Э!R45,IF(Э!T46=0,Э!U46,ROUND(Э!G43,2))))</f>
        <v>1.3</v>
      </c>
      <c r="G13" s="116"/>
      <c r="H13" s="5"/>
    </row>
    <row r="14" spans="2:8" ht="18.75" customHeight="1">
      <c r="B14" s="16"/>
      <c r="C14" s="143" t="s">
        <v>0</v>
      </c>
      <c r="D14" s="144"/>
      <c r="E14" s="61" t="s">
        <v>7</v>
      </c>
      <c r="F14" s="122">
        <f>IF(F10&gt;2.5,Э!L46,IF(Э!T45=0,Э!R45,IF(Э!T46=0,Э!U46,ROUND(Э!J45,2))))</f>
        <v>359.03</v>
      </c>
      <c r="G14" s="123"/>
      <c r="H14" s="5"/>
    </row>
    <row r="15" spans="2:8" ht="18.75" customHeight="1">
      <c r="B15" s="16"/>
      <c r="C15" s="141" t="s">
        <v>38</v>
      </c>
      <c r="D15" s="142"/>
      <c r="E15" s="21" t="s">
        <v>7</v>
      </c>
      <c r="F15" s="120">
        <f>IF(F10&gt;2.5,Э!L46,IF(Э!T45=0,Э!R45,IF(Э!T46=0,Э!U46,ROUND(Э!C44,2))))</f>
        <v>1.59</v>
      </c>
      <c r="G15" s="121"/>
      <c r="H15" s="5"/>
    </row>
    <row r="16" spans="2:8" ht="18.75" customHeight="1">
      <c r="B16" s="16"/>
      <c r="C16" s="63" t="s">
        <v>46</v>
      </c>
      <c r="D16" s="64"/>
      <c r="E16" s="21" t="s">
        <v>7</v>
      </c>
      <c r="F16" s="113">
        <f>IF(F10&gt;2.5,Э!L46,IF(Э!T45=0,Э!R45,IF(Э!T46=0,Э!U46,ROUND(Э!C46,2))))</f>
        <v>1.48</v>
      </c>
      <c r="G16" s="114"/>
      <c r="H16" s="5"/>
    </row>
    <row r="17" spans="2:8" ht="18.75" customHeight="1">
      <c r="B17" s="16"/>
      <c r="C17" s="131" t="s">
        <v>2</v>
      </c>
      <c r="D17" s="132"/>
      <c r="E17" s="62" t="s">
        <v>8</v>
      </c>
      <c r="F17" s="139">
        <f>IF(F10&gt;2.5,Э!L46,IF(Э!T45=0,Э!R45,IF(Э!T46=0,Э!U46,Э!D45)))</f>
        <v>6.84</v>
      </c>
      <c r="G17" s="140"/>
      <c r="H17" s="5"/>
    </row>
    <row r="18" spans="2:8" ht="18.75" customHeight="1">
      <c r="B18" s="16"/>
      <c r="C18" s="136" t="s">
        <v>17</v>
      </c>
      <c r="D18" s="137"/>
      <c r="E18" s="137" t="str">
        <f>IF(F10&gt;2.5,Э!L46,IF(Э!T45=0,Э!R45,IF(Э!T46=0,Э!U46,IF(F17&lt;5,Э!O44,IF(F17&lt;8.5,Э!P44,IF(F17&lt;10.3,Э!Q44,IF(F17&lt;12,Э!O45,IF(F17&lt;17,Э!O46,Э!P46))))))))</f>
        <v>Хорошо</v>
      </c>
      <c r="F18" s="137"/>
      <c r="G18" s="138"/>
      <c r="H18" s="5"/>
    </row>
    <row r="19" spans="2:8" ht="23.25" customHeight="1">
      <c r="B19" s="17"/>
      <c r="C19" s="7"/>
      <c r="D19" s="7"/>
      <c r="E19" s="8"/>
      <c r="F19" s="9"/>
      <c r="G19" s="10"/>
      <c r="H19" s="11"/>
    </row>
    <row r="20" spans="2:8" ht="12.75" customHeight="1">
      <c r="B20" s="128"/>
      <c r="C20" s="128"/>
      <c r="D20" s="128"/>
      <c r="E20" s="128"/>
      <c r="F20" s="128"/>
      <c r="G20" s="128"/>
      <c r="H20" s="128"/>
    </row>
    <row r="22" ht="12.75"/>
    <row r="23" ht="12.75"/>
    <row r="24" spans="3:21" ht="20.25">
      <c r="C24" s="25"/>
      <c r="D24" s="25"/>
      <c r="E24" s="25"/>
      <c r="F24" s="25"/>
      <c r="G24" s="25"/>
      <c r="H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3:21" ht="18">
      <c r="C25" s="26"/>
      <c r="D25" s="26"/>
      <c r="E25" s="26"/>
      <c r="F25" s="26"/>
      <c r="G25" s="26"/>
      <c r="H25" s="26"/>
      <c r="J25" s="26"/>
      <c r="K25" s="27"/>
      <c r="L25" s="27"/>
      <c r="M25" s="26"/>
      <c r="N25" s="27"/>
      <c r="O25" s="27"/>
      <c r="P25" s="26"/>
      <c r="Q25" s="27"/>
      <c r="R25" s="27"/>
      <c r="S25" s="27"/>
      <c r="T25" s="27"/>
      <c r="U25" s="26"/>
    </row>
    <row r="26" spans="3:21" ht="15.75">
      <c r="C26" s="26"/>
      <c r="D26" s="3"/>
      <c r="E26" s="26"/>
      <c r="F26" s="28"/>
      <c r="G26" s="28"/>
      <c r="H26" s="18"/>
      <c r="J26" s="18"/>
      <c r="K26" s="29"/>
      <c r="L26" s="30"/>
      <c r="M26" s="19"/>
      <c r="N26" s="29"/>
      <c r="O26" s="30"/>
      <c r="P26" s="31"/>
      <c r="Q26" s="29"/>
      <c r="R26" s="29"/>
      <c r="S26" s="29"/>
      <c r="T26" s="30"/>
      <c r="U26" s="26"/>
    </row>
    <row r="27" spans="3:21" ht="15.75">
      <c r="C27" s="26"/>
      <c r="D27" s="3"/>
      <c r="E27" s="26"/>
      <c r="F27" s="32"/>
      <c r="G27" s="32"/>
      <c r="H27" s="18"/>
      <c r="J27" s="18"/>
      <c r="K27" s="29"/>
      <c r="L27" s="30"/>
      <c r="M27" s="19"/>
      <c r="N27" s="29"/>
      <c r="O27" s="30"/>
      <c r="P27" s="31"/>
      <c r="Q27" s="29"/>
      <c r="R27" s="29"/>
      <c r="S27" s="29"/>
      <c r="T27" s="30"/>
      <c r="U27" s="26"/>
    </row>
    <row r="28" spans="3:21" ht="15.75">
      <c r="C28" s="26"/>
      <c r="D28" s="3"/>
      <c r="E28" s="26"/>
      <c r="F28" s="32"/>
      <c r="G28" s="32"/>
      <c r="H28" s="18"/>
      <c r="J28" s="18"/>
      <c r="K28" s="29"/>
      <c r="L28" s="30"/>
      <c r="M28" s="19"/>
      <c r="N28" s="29"/>
      <c r="O28" s="30"/>
      <c r="P28" s="31"/>
      <c r="Q28" s="29"/>
      <c r="R28" s="29"/>
      <c r="S28" s="29"/>
      <c r="T28" s="30"/>
      <c r="U28" s="26"/>
    </row>
    <row r="29" spans="3:21" ht="15.75">
      <c r="C29" s="33"/>
      <c r="D29" s="33"/>
      <c r="E29" s="34"/>
      <c r="F29" s="35"/>
      <c r="G29" s="35"/>
      <c r="H29" s="18"/>
      <c r="J29" s="18"/>
      <c r="K29" s="36"/>
      <c r="L29" s="36"/>
      <c r="M29" s="19"/>
      <c r="N29" s="36"/>
      <c r="O29" s="36"/>
      <c r="P29" s="31"/>
      <c r="Q29" s="36"/>
      <c r="R29" s="36"/>
      <c r="S29" s="36"/>
      <c r="T29" s="36"/>
      <c r="U29" s="37"/>
    </row>
    <row r="30" spans="3:21" ht="20.25">
      <c r="C30" s="38"/>
      <c r="D30" s="38"/>
      <c r="E30" s="39"/>
      <c r="F30" s="40"/>
      <c r="G30" s="40"/>
      <c r="H30" s="38"/>
      <c r="J30" s="38"/>
      <c r="K30" s="41"/>
      <c r="L30" s="42"/>
      <c r="M30" s="38"/>
      <c r="N30" s="41"/>
      <c r="O30" s="42"/>
      <c r="P30" s="43"/>
      <c r="Q30" s="44"/>
      <c r="R30" s="44"/>
      <c r="S30" s="44"/>
      <c r="T30" s="42"/>
      <c r="U30" s="37"/>
    </row>
    <row r="31" spans="3:21" ht="20.25">
      <c r="C31" s="38"/>
      <c r="D31" s="38"/>
      <c r="E31" s="39"/>
      <c r="F31" s="40"/>
      <c r="G31" s="40"/>
      <c r="H31" s="38"/>
      <c r="J31" s="38"/>
      <c r="K31" s="41"/>
      <c r="L31" s="42"/>
      <c r="M31" s="38"/>
      <c r="N31" s="41"/>
      <c r="O31" s="42"/>
      <c r="P31" s="43"/>
      <c r="Q31" s="44"/>
      <c r="R31" s="44"/>
      <c r="S31" s="44"/>
      <c r="T31" s="42"/>
      <c r="U31" s="37"/>
    </row>
    <row r="32" spans="3:21" ht="20.25">
      <c r="C32" s="38"/>
      <c r="D32" s="38"/>
      <c r="E32" s="39"/>
      <c r="F32" s="40"/>
      <c r="G32" s="40"/>
      <c r="H32" s="38"/>
      <c r="J32" s="38"/>
      <c r="K32" s="41"/>
      <c r="L32" s="42"/>
      <c r="M32" s="38"/>
      <c r="N32" s="41"/>
      <c r="O32" s="42"/>
      <c r="P32" s="43"/>
      <c r="Q32" s="44"/>
      <c r="R32" s="44"/>
      <c r="S32" s="44"/>
      <c r="T32" s="42"/>
      <c r="U32" s="37"/>
    </row>
    <row r="33" spans="3:21" ht="20.25">
      <c r="C33" s="38"/>
      <c r="D33" s="38"/>
      <c r="E33" s="39"/>
      <c r="F33" s="40"/>
      <c r="G33" s="40"/>
      <c r="H33" s="38"/>
      <c r="J33" s="38"/>
      <c r="K33" s="41"/>
      <c r="L33" s="42"/>
      <c r="M33" s="38"/>
      <c r="N33" s="41"/>
      <c r="O33" s="42"/>
      <c r="P33" s="43"/>
      <c r="Q33" s="44"/>
      <c r="R33" s="44"/>
      <c r="S33" s="44"/>
      <c r="T33" s="42"/>
      <c r="U33" s="37"/>
    </row>
    <row r="34" spans="3:21" ht="20.25">
      <c r="C34" s="38"/>
      <c r="D34" s="38"/>
      <c r="E34" s="39"/>
      <c r="F34" s="40"/>
      <c r="G34" s="40"/>
      <c r="H34" s="38"/>
      <c r="J34" s="38"/>
      <c r="K34" s="41"/>
      <c r="L34" s="42"/>
      <c r="M34" s="38"/>
      <c r="N34" s="41"/>
      <c r="O34" s="42"/>
      <c r="P34" s="43"/>
      <c r="Q34" s="44"/>
      <c r="R34" s="44"/>
      <c r="S34" s="44"/>
      <c r="T34" s="42"/>
      <c r="U34" s="37"/>
    </row>
    <row r="35" spans="3:21" ht="20.25">
      <c r="C35" s="38"/>
      <c r="D35" s="38"/>
      <c r="E35" s="39"/>
      <c r="F35" s="40"/>
      <c r="G35" s="40"/>
      <c r="H35" s="38"/>
      <c r="J35" s="38"/>
      <c r="K35" s="41"/>
      <c r="L35" s="42"/>
      <c r="M35" s="38"/>
      <c r="N35" s="41"/>
      <c r="O35" s="42"/>
      <c r="P35" s="43"/>
      <c r="Q35" s="44"/>
      <c r="R35" s="44"/>
      <c r="S35" s="44"/>
      <c r="T35" s="42"/>
      <c r="U35" s="37"/>
    </row>
    <row r="36" spans="2:8" ht="55.5" customHeight="1">
      <c r="B36" s="133" t="s">
        <v>22</v>
      </c>
      <c r="C36" s="133"/>
      <c r="D36" s="133"/>
      <c r="E36" s="133"/>
      <c r="F36" s="133"/>
      <c r="G36" s="133"/>
      <c r="H36" s="133"/>
    </row>
    <row r="37" spans="2:7" ht="42" customHeight="1">
      <c r="B37" s="152" t="s">
        <v>66</v>
      </c>
      <c r="C37" s="152"/>
      <c r="D37" s="152"/>
      <c r="E37" s="152"/>
      <c r="F37" s="152"/>
      <c r="G37" s="152"/>
    </row>
  </sheetData>
  <sheetProtection password="81F8" sheet="1" objects="1" scenarios="1" selectLockedCells="1"/>
  <protectedRanges>
    <protectedRange sqref="F9" name="Диапазон3"/>
  </protectedRanges>
  <mergeCells count="28">
    <mergeCell ref="B37:G37"/>
    <mergeCell ref="B2:H2"/>
    <mergeCell ref="F5:G5"/>
    <mergeCell ref="B3:H3"/>
    <mergeCell ref="C8:D8"/>
    <mergeCell ref="F7:G7"/>
    <mergeCell ref="F8:G8"/>
    <mergeCell ref="C4:G4"/>
    <mergeCell ref="F6:G6"/>
    <mergeCell ref="B20:H20"/>
    <mergeCell ref="C7:D7"/>
    <mergeCell ref="C17:D17"/>
    <mergeCell ref="B36:H36"/>
    <mergeCell ref="F9:G9"/>
    <mergeCell ref="C18:D18"/>
    <mergeCell ref="E18:G18"/>
    <mergeCell ref="F17:G17"/>
    <mergeCell ref="C15:D15"/>
    <mergeCell ref="C14:D14"/>
    <mergeCell ref="F16:G16"/>
    <mergeCell ref="F13:G13"/>
    <mergeCell ref="C6:D6"/>
    <mergeCell ref="C5:D5"/>
    <mergeCell ref="F11:G11"/>
    <mergeCell ref="F15:G15"/>
    <mergeCell ref="F14:G14"/>
    <mergeCell ref="C12:D12"/>
    <mergeCell ref="F10:G10"/>
  </mergeCells>
  <hyperlinks>
    <hyperlink ref="B2:H2" r:id="rId1" display="Разработчик настоящего калькулятора Завод &quot;ФАКЕЛ&quot; предоставляет возможность быстро и точно подобрать ЭЛКО по максимальной длине в зависимости от имеющегося уклона грунта, входного давления и № ЭЛКО "/>
    <hyperlink ref="B37:G37" r:id="rId2" display="Производитель систем ирригации Завод &quot;ФАКЕЛ&quot; всегда желает производителям сельхозпродукции урожайных сезонов!"/>
  </hyperlinks>
  <printOptions/>
  <pageMargins left="0.7874015748031497" right="0.3937007874015748" top="0.3937007874015748" bottom="0.3937007874015748" header="0.5118110236220472" footer="0.5118110236220472"/>
  <pageSetup orientation="portrait" paperSize="9" scale="7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Факел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ФСЮ</cp:lastModifiedBy>
  <cp:lastPrinted>2012-01-30T06:49:31Z</cp:lastPrinted>
  <dcterms:created xsi:type="dcterms:W3CDTF">2007-12-05T07:37:00Z</dcterms:created>
  <dcterms:modified xsi:type="dcterms:W3CDTF">2014-02-26T16:03:54Z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